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\Desktop\2014\"/>
    </mc:Choice>
  </mc:AlternateContent>
  <xr:revisionPtr revIDLastSave="0" documentId="13_ncr:1_{352209A0-F6ED-4554-9AA4-4CF8384EC65B}" xr6:coauthVersionLast="33" xr6:coauthVersionMax="33" xr10:uidLastSave="{00000000-0000-0000-0000-000000000000}"/>
  <bookViews>
    <workbookView xWindow="120" yWindow="90" windowWidth="11910" windowHeight="5550" firstSheet="8" activeTab="8" xr2:uid="{00000000-000D-0000-FFFF-FFFF00000000}"/>
  </bookViews>
  <sheets>
    <sheet name="ATIVO" sheetId="3" state="hidden" r:id="rId1"/>
    <sheet name="PASSIVO" sheetId="4" state="hidden" r:id="rId2"/>
    <sheet name="DRE" sheetId="5" state="hidden" r:id="rId3"/>
    <sheet name="DFC" sheetId="6" state="hidden" r:id="rId4"/>
    <sheet name="DVA" sheetId="7" state="hidden" r:id="rId5"/>
    <sheet name="QTDE DE AÇÕES" sheetId="13" state="hidden" r:id="rId6"/>
    <sheet name="Demonstrativos Padrões" sheetId="8" state="hidden" r:id="rId7"/>
    <sheet name="INDICADORES FINANCEIROS" sheetId="11" state="hidden" r:id="rId8"/>
    <sheet name="Demonstrativos Gerenciais SITE" sheetId="9" r:id="rId9"/>
    <sheet name="NOPAT AMPLO RESTRITO" sheetId="12" r:id="rId10"/>
    <sheet name="Representação Gráfica SITE" sheetId="1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Cotações_de_Ações_para_Investidores_do_MSN_MoneyCentral" localSheetId="6">'Demonstrativos Padrões'!#REF!</definedName>
  </definedNames>
  <calcPr calcId="179017"/>
</workbook>
</file>

<file path=xl/calcChain.xml><?xml version="1.0" encoding="utf-8"?>
<calcChain xmlns="http://schemas.openxmlformats.org/spreadsheetml/2006/main">
  <c r="F94" i="8" l="1"/>
  <c r="E194" i="11" l="1"/>
  <c r="B16" i="13" l="1"/>
  <c r="B15" i="13"/>
  <c r="B14" i="13"/>
  <c r="B13" i="13"/>
  <c r="B12" i="13"/>
  <c r="B11" i="13"/>
  <c r="B10" i="13"/>
  <c r="B9" i="13"/>
  <c r="B8" i="13"/>
  <c r="B7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B6" i="13"/>
  <c r="A6" i="13"/>
  <c r="B5" i="13"/>
  <c r="E192" i="11" l="1"/>
  <c r="B18" i="13"/>
  <c r="B2" i="13" s="1"/>
  <c r="E6" i="13"/>
  <c r="E7" i="13"/>
  <c r="E8" i="13"/>
  <c r="E9" i="13"/>
  <c r="E10" i="13"/>
  <c r="E11" i="13"/>
  <c r="E12" i="13"/>
  <c r="E13" i="13"/>
  <c r="E14" i="13"/>
  <c r="E15" i="13"/>
  <c r="E16" i="13"/>
  <c r="E5" i="13"/>
  <c r="D6" i="11" l="1"/>
  <c r="D7" i="11" s="1"/>
  <c r="D8" i="11" s="1"/>
  <c r="D9" i="11" s="1"/>
  <c r="D10" i="11" s="1"/>
  <c r="D13" i="11" s="1"/>
  <c r="D17" i="11" s="1"/>
  <c r="D18" i="11" s="1"/>
  <c r="D19" i="11" s="1"/>
  <c r="D20" i="11" s="1"/>
  <c r="D21" i="11" s="1"/>
  <c r="D22" i="11" s="1"/>
  <c r="D23" i="11" s="1"/>
  <c r="D25" i="11" s="1"/>
  <c r="D29" i="11" s="1"/>
  <c r="D30" i="11" s="1"/>
  <c r="D31" i="11" s="1"/>
  <c r="D32" i="11" s="1"/>
  <c r="D33" i="11" s="1"/>
  <c r="D34" i="11" s="1"/>
  <c r="D41" i="11" s="1"/>
  <c r="D42" i="11" s="1"/>
  <c r="D43" i="11" s="1"/>
  <c r="D44" i="11" s="1"/>
  <c r="D45" i="11" s="1"/>
  <c r="D50" i="11" s="1"/>
  <c r="D51" i="11" s="1"/>
  <c r="D52" i="11" s="1"/>
  <c r="D53" i="11" s="1"/>
  <c r="D54" i="11" s="1"/>
  <c r="D58" i="11" s="1"/>
  <c r="D59" i="11" s="1"/>
  <c r="D60" i="11" s="1"/>
  <c r="D61" i="11" s="1"/>
  <c r="D62" i="11" s="1"/>
  <c r="D66" i="11" s="1"/>
  <c r="D67" i="11" s="1"/>
  <c r="D68" i="11" s="1"/>
  <c r="D69" i="11" s="1"/>
  <c r="D70" i="11" s="1"/>
  <c r="D71" i="11" s="1"/>
  <c r="D72" i="11" s="1"/>
  <c r="D73" i="11" s="1"/>
  <c r="D74" i="11" s="1"/>
  <c r="D79" i="11" s="1"/>
  <c r="D80" i="11" s="1"/>
  <c r="D81" i="11" s="1"/>
  <c r="D82" i="11" s="1"/>
  <c r="D83" i="11" s="1"/>
  <c r="D97" i="11" s="1"/>
  <c r="D99" i="11" s="1"/>
  <c r="D103" i="11" s="1"/>
  <c r="D105" i="11" s="1"/>
  <c r="D106" i="11" s="1"/>
  <c r="D107" i="11" s="1"/>
  <c r="D108" i="11" s="1"/>
  <c r="D109" i="11" s="1"/>
  <c r="D113" i="11" s="1"/>
  <c r="D123" i="11" s="1"/>
  <c r="D124" i="11" s="1"/>
  <c r="D125" i="11" s="1"/>
  <c r="D126" i="11" s="1"/>
  <c r="D127" i="11" s="1"/>
  <c r="D6" i="13" l="1"/>
  <c r="D7" i="13" s="1"/>
  <c r="D8" i="13" s="1"/>
  <c r="D9" i="13" s="1"/>
  <c r="D10" i="13" s="1"/>
  <c r="D11" i="13" s="1"/>
  <c r="D12" i="13" s="1"/>
  <c r="D13" i="13" s="1"/>
  <c r="D14" i="13" s="1"/>
  <c r="D15" i="13" s="1"/>
  <c r="D16" i="13" s="1"/>
  <c r="A69" i="8"/>
  <c r="E96" i="11" l="1"/>
  <c r="E104" i="11"/>
  <c r="E178" i="11"/>
  <c r="C15" i="12"/>
  <c r="E16" i="11"/>
  <c r="E28" i="11" s="1"/>
  <c r="E40" i="11" s="1"/>
  <c r="E49" i="11" s="1"/>
  <c r="E57" i="11" s="1"/>
  <c r="E65" i="11" s="1"/>
  <c r="E168" i="11"/>
  <c r="E180" i="11" s="1"/>
  <c r="E158" i="11"/>
  <c r="B73" i="11"/>
  <c r="B72" i="11"/>
  <c r="B71" i="11"/>
  <c r="B70" i="11"/>
  <c r="B69" i="11"/>
  <c r="B67" i="11"/>
  <c r="B66" i="11"/>
  <c r="C11" i="10"/>
  <c r="B11" i="10"/>
  <c r="A50" i="10"/>
  <c r="A23" i="10"/>
  <c r="B15" i="12"/>
  <c r="C16" i="11"/>
  <c r="C28" i="11" s="1"/>
  <c r="C40" i="11" s="1"/>
  <c r="C49" i="11" s="1"/>
  <c r="C57" i="11" s="1"/>
  <c r="C65" i="11" s="1"/>
  <c r="B68" i="11"/>
  <c r="C77" i="11" l="1"/>
  <c r="C86" i="11"/>
  <c r="C119" i="11" s="1"/>
  <c r="C130" i="11" s="1"/>
  <c r="C135" i="11" s="1"/>
  <c r="C147" i="11" s="1"/>
  <c r="C153" i="11" s="1"/>
  <c r="C161" i="11" s="1"/>
  <c r="E77" i="11"/>
  <c r="E86" i="11"/>
  <c r="E119" i="11" l="1"/>
  <c r="E130" i="11" s="1"/>
  <c r="E135" i="11" s="1"/>
  <c r="E147" i="11" s="1"/>
  <c r="E153" i="11" s="1"/>
  <c r="E161" i="11" s="1"/>
  <c r="E94" i="11"/>
  <c r="E102" i="11" s="1"/>
  <c r="C185" i="11"/>
  <c r="C191" i="11" s="1"/>
  <c r="C173" i="11"/>
  <c r="E173" i="11" l="1"/>
  <c r="E185" i="11"/>
  <c r="E191" i="11" s="1"/>
  <c r="B5" i="9" l="1"/>
  <c r="C5" i="9"/>
  <c r="D5" i="9"/>
  <c r="D6" i="9"/>
  <c r="D7" i="9"/>
  <c r="B8" i="9"/>
  <c r="C8" i="9"/>
  <c r="D8" i="9"/>
  <c r="B9" i="9"/>
  <c r="C9" i="9"/>
  <c r="D9" i="9"/>
  <c r="C11" i="9"/>
  <c r="D11" i="9"/>
  <c r="B13" i="9"/>
  <c r="C13" i="9"/>
  <c r="D13" i="9"/>
  <c r="B14" i="9"/>
  <c r="C14" i="9"/>
  <c r="D14" i="9"/>
  <c r="B16" i="9"/>
  <c r="C9" i="10" s="1"/>
  <c r="C16" i="9"/>
  <c r="B9" i="10" s="1"/>
  <c r="D16" i="9"/>
  <c r="D19" i="9"/>
  <c r="B20" i="9"/>
  <c r="C20" i="9"/>
  <c r="D20" i="9"/>
  <c r="B21" i="9"/>
  <c r="D21" i="9"/>
  <c r="B22" i="9"/>
  <c r="C22" i="9"/>
  <c r="D22" i="9"/>
  <c r="B23" i="9"/>
  <c r="C23" i="9"/>
  <c r="D23" i="9"/>
  <c r="B24" i="9"/>
  <c r="C24" i="9"/>
  <c r="D24" i="9"/>
  <c r="B26" i="9"/>
  <c r="C26" i="9"/>
  <c r="D26" i="9"/>
  <c r="B28" i="9"/>
  <c r="C28" i="9"/>
  <c r="D28" i="9"/>
  <c r="B29" i="9"/>
  <c r="C29" i="9"/>
  <c r="D29" i="9"/>
  <c r="B30" i="9"/>
  <c r="C30" i="9"/>
  <c r="D30" i="9"/>
  <c r="B31" i="9"/>
  <c r="C31" i="9"/>
  <c r="D31" i="9"/>
  <c r="B32" i="9"/>
  <c r="C32" i="9"/>
  <c r="D32" i="9"/>
  <c r="D33" i="9"/>
  <c r="B35" i="9"/>
  <c r="C35" i="9"/>
  <c r="D35" i="9"/>
  <c r="B36" i="9"/>
  <c r="C36" i="9"/>
  <c r="D36" i="9"/>
  <c r="B37" i="9"/>
  <c r="C37" i="9"/>
  <c r="D37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D46" i="9"/>
  <c r="B48" i="9"/>
  <c r="D48" i="9"/>
  <c r="B50" i="9"/>
  <c r="C50" i="9"/>
  <c r="D50" i="9"/>
  <c r="B51" i="9"/>
  <c r="C51" i="9"/>
  <c r="D51" i="9"/>
  <c r="D52" i="9"/>
  <c r="B53" i="9"/>
  <c r="C53" i="9"/>
  <c r="D53" i="9"/>
  <c r="D54" i="9"/>
  <c r="D56" i="9"/>
  <c r="D57" i="9"/>
  <c r="B58" i="9"/>
  <c r="C58" i="9"/>
  <c r="D58" i="9"/>
  <c r="B60" i="9"/>
  <c r="C60" i="9"/>
  <c r="D60" i="9"/>
  <c r="D62" i="9"/>
  <c r="B66" i="9"/>
  <c r="C66" i="9"/>
  <c r="D66" i="9"/>
  <c r="B67" i="9"/>
  <c r="C67" i="9"/>
  <c r="D67" i="9"/>
  <c r="B68" i="9"/>
  <c r="C68" i="9"/>
  <c r="D68" i="9"/>
  <c r="B69" i="9"/>
  <c r="C69" i="9"/>
  <c r="D69" i="9"/>
  <c r="B70" i="9"/>
  <c r="C70" i="9"/>
  <c r="D70" i="9"/>
  <c r="B72" i="9"/>
  <c r="C72" i="9"/>
  <c r="D72" i="9"/>
  <c r="B75" i="9"/>
  <c r="C75" i="9"/>
  <c r="D75" i="9"/>
  <c r="B77" i="9"/>
  <c r="C77" i="9"/>
  <c r="D77" i="9"/>
  <c r="C79" i="9"/>
  <c r="D79" i="9"/>
  <c r="B81" i="9"/>
  <c r="C81" i="9"/>
  <c r="D81" i="9"/>
  <c r="B82" i="9"/>
  <c r="C82" i="9"/>
  <c r="D82" i="9"/>
  <c r="C84" i="9"/>
  <c r="C86" i="9"/>
  <c r="D86" i="9"/>
  <c r="C87" i="9"/>
  <c r="D87" i="9"/>
  <c r="C88" i="9"/>
  <c r="D88" i="9"/>
  <c r="C89" i="9"/>
  <c r="D89" i="9"/>
  <c r="H105" i="8" l="1"/>
  <c r="F103" i="8"/>
  <c r="F96" i="8"/>
  <c r="B89" i="9"/>
  <c r="E83" i="11"/>
  <c r="C78" i="9"/>
  <c r="G81" i="8"/>
  <c r="B65" i="9"/>
  <c r="F71" i="8"/>
  <c r="C62" i="9"/>
  <c r="C23" i="11"/>
  <c r="C68" i="11" s="1"/>
  <c r="H61" i="8"/>
  <c r="D59" i="9"/>
  <c r="B57" i="9"/>
  <c r="E22" i="11"/>
  <c r="C54" i="9"/>
  <c r="B8" i="12"/>
  <c r="E141" i="11"/>
  <c r="B49" i="9"/>
  <c r="C5" i="12"/>
  <c r="C19" i="12" s="1"/>
  <c r="E21" i="11"/>
  <c r="F49" i="8"/>
  <c r="C46" i="9"/>
  <c r="B3" i="12"/>
  <c r="B17" i="12" s="1"/>
  <c r="E131" i="11"/>
  <c r="B33" i="9"/>
  <c r="H26" i="8"/>
  <c r="D27" i="9"/>
  <c r="F27" i="8"/>
  <c r="B25" i="9"/>
  <c r="C7" i="10" s="1"/>
  <c r="C18" i="9"/>
  <c r="G18" i="8"/>
  <c r="B17" i="9"/>
  <c r="C6" i="10" s="1"/>
  <c r="E148" i="11"/>
  <c r="F17" i="8"/>
  <c r="E41" i="11"/>
  <c r="G10" i="8"/>
  <c r="C10" i="9"/>
  <c r="C137" i="11"/>
  <c r="C6" i="9"/>
  <c r="D3" i="9"/>
  <c r="H3" i="8"/>
  <c r="H16" i="8"/>
  <c r="D2" i="9"/>
  <c r="B88" i="9"/>
  <c r="E82" i="11"/>
  <c r="G85" i="8"/>
  <c r="C85" i="9"/>
  <c r="E78" i="11"/>
  <c r="B84" i="9"/>
  <c r="B80" i="9"/>
  <c r="F83" i="8"/>
  <c r="H81" i="8"/>
  <c r="D78" i="9"/>
  <c r="B76" i="9"/>
  <c r="F78" i="8"/>
  <c r="C65" i="9"/>
  <c r="G71" i="8"/>
  <c r="C57" i="9"/>
  <c r="C22" i="11"/>
  <c r="B52" i="9"/>
  <c r="C7" i="12"/>
  <c r="C20" i="12" s="1"/>
  <c r="B5" i="12"/>
  <c r="B19" i="12" s="1"/>
  <c r="C141" i="11"/>
  <c r="C49" i="9"/>
  <c r="G49" i="8"/>
  <c r="C33" i="9"/>
  <c r="E149" i="11"/>
  <c r="E155" i="11" s="1"/>
  <c r="E163" i="11" s="1"/>
  <c r="C25" i="9"/>
  <c r="B7" i="10" s="1"/>
  <c r="G27" i="8"/>
  <c r="C17" i="9"/>
  <c r="B6" i="10" s="1"/>
  <c r="G17" i="8"/>
  <c r="C41" i="11"/>
  <c r="F12" i="8"/>
  <c r="B12" i="9"/>
  <c r="F4" i="8"/>
  <c r="B4" i="9"/>
  <c r="G101" i="8"/>
  <c r="C5" i="11"/>
  <c r="C20" i="11" s="1"/>
  <c r="B86" i="9"/>
  <c r="E80" i="11"/>
  <c r="H83" i="8"/>
  <c r="D80" i="9"/>
  <c r="F81" i="8"/>
  <c r="B78" i="9"/>
  <c r="D76" i="9"/>
  <c r="H78" i="8"/>
  <c r="C71" i="9"/>
  <c r="G73" i="8"/>
  <c r="B62" i="9"/>
  <c r="E23" i="11"/>
  <c r="C24" i="11"/>
  <c r="C59" i="9"/>
  <c r="G61" i="8"/>
  <c r="C55" i="9"/>
  <c r="G59" i="8"/>
  <c r="C8" i="12"/>
  <c r="B54" i="9"/>
  <c r="C47" i="9"/>
  <c r="G56" i="8"/>
  <c r="B46" i="9"/>
  <c r="C3" i="12"/>
  <c r="C17" i="12" s="1"/>
  <c r="B38" i="9"/>
  <c r="E127" i="11"/>
  <c r="B34" i="9"/>
  <c r="F34" i="8"/>
  <c r="G26" i="8"/>
  <c r="C27" i="9"/>
  <c r="C140" i="11"/>
  <c r="C19" i="9"/>
  <c r="B18" i="9"/>
  <c r="F18" i="8"/>
  <c r="D12" i="9"/>
  <c r="H12" i="8"/>
  <c r="B10" i="9"/>
  <c r="F10" i="8"/>
  <c r="C7" i="9"/>
  <c r="C138" i="11"/>
  <c r="B6" i="9"/>
  <c r="E137" i="11"/>
  <c r="H4" i="8"/>
  <c r="D4" i="9"/>
  <c r="C3" i="9"/>
  <c r="C29" i="11"/>
  <c r="G3" i="8"/>
  <c r="C30" i="11"/>
  <c r="F109" i="8"/>
  <c r="G103" i="8"/>
  <c r="G96" i="8"/>
  <c r="H109" i="8"/>
  <c r="G105" i="8"/>
  <c r="G16" i="8"/>
  <c r="C2" i="9"/>
  <c r="B4" i="10" s="1"/>
  <c r="B85" i="9"/>
  <c r="F85" i="8"/>
  <c r="E79" i="11"/>
  <c r="D71" i="9"/>
  <c r="H73" i="8"/>
  <c r="B61" i="9"/>
  <c r="F63" i="8"/>
  <c r="D55" i="9"/>
  <c r="H59" i="8"/>
  <c r="D47" i="9"/>
  <c r="H56" i="8"/>
  <c r="E143" i="11"/>
  <c r="C2" i="12"/>
  <c r="F48" i="8"/>
  <c r="E7" i="11"/>
  <c r="E17" i="11"/>
  <c r="B45" i="9"/>
  <c r="C34" i="9"/>
  <c r="G34" i="8"/>
  <c r="G63" i="8"/>
  <c r="C61" i="9"/>
  <c r="B56" i="9"/>
  <c r="C6" i="12"/>
  <c r="C143" i="11"/>
  <c r="C45" i="9"/>
  <c r="G48" i="8"/>
  <c r="B2" i="12"/>
  <c r="D34" i="9"/>
  <c r="H34" i="8"/>
  <c r="C131" i="11"/>
  <c r="C21" i="9"/>
  <c r="E154" i="11"/>
  <c r="D18" i="9"/>
  <c r="H18" i="8"/>
  <c r="H10" i="8"/>
  <c r="D10" i="9"/>
  <c r="B2" i="9"/>
  <c r="C5" i="10" s="1"/>
  <c r="B71" i="10" s="1"/>
  <c r="F16" i="8"/>
  <c r="E157" i="11"/>
  <c r="C25" i="11"/>
  <c r="F101" i="8"/>
  <c r="E5" i="11"/>
  <c r="B87" i="9"/>
  <c r="E81" i="11"/>
  <c r="D85" i="9"/>
  <c r="G83" i="8"/>
  <c r="C80" i="9"/>
  <c r="B79" i="9"/>
  <c r="E120" i="11"/>
  <c r="E187" i="11" s="1"/>
  <c r="G78" i="8"/>
  <c r="C76" i="9"/>
  <c r="B71" i="9"/>
  <c r="F73" i="8"/>
  <c r="D65" i="9"/>
  <c r="H71" i="8"/>
  <c r="H63" i="8"/>
  <c r="D61" i="9"/>
  <c r="B59" i="9"/>
  <c r="E24" i="11"/>
  <c r="E123" i="11"/>
  <c r="F61" i="8"/>
  <c r="C56" i="9"/>
  <c r="B6" i="12"/>
  <c r="B55" i="9"/>
  <c r="F59" i="8"/>
  <c r="C52" i="9"/>
  <c r="B7" i="12"/>
  <c r="B20" i="12" s="1"/>
  <c r="D49" i="9"/>
  <c r="H49" i="8"/>
  <c r="C21" i="11"/>
  <c r="C48" i="9"/>
  <c r="F56" i="8"/>
  <c r="B47" i="9"/>
  <c r="D45" i="9"/>
  <c r="H48" i="8"/>
  <c r="F26" i="8"/>
  <c r="B27" i="9"/>
  <c r="C13" i="10" s="1"/>
  <c r="D25" i="9"/>
  <c r="H27" i="8"/>
  <c r="B19" i="9"/>
  <c r="E140" i="11"/>
  <c r="H17" i="8"/>
  <c r="D17" i="9"/>
  <c r="C12" i="9"/>
  <c r="G12" i="8"/>
  <c r="B11" i="9"/>
  <c r="E186" i="11"/>
  <c r="B7" i="9"/>
  <c r="E138" i="11"/>
  <c r="C4" i="9"/>
  <c r="G4" i="8"/>
  <c r="F3" i="8"/>
  <c r="B3" i="9"/>
  <c r="E29" i="11"/>
  <c r="E30" i="11"/>
  <c r="E37" i="11"/>
  <c r="H101" i="8"/>
  <c r="E18" i="13"/>
  <c r="E2" i="13" s="1"/>
  <c r="G109" i="8"/>
  <c r="F105" i="8"/>
  <c r="H103" i="8"/>
  <c r="H96" i="8"/>
  <c r="E20" i="11" l="1"/>
  <c r="E68" i="11"/>
  <c r="E188" i="11"/>
  <c r="E13" i="11" s="1"/>
  <c r="C136" i="11"/>
  <c r="C4" i="10"/>
  <c r="E50" i="11"/>
  <c r="E139" i="11"/>
  <c r="C139" i="11"/>
  <c r="E132" i="11"/>
  <c r="E6" i="11" s="1"/>
  <c r="C3" i="10"/>
  <c r="E136" i="11"/>
  <c r="B14" i="10"/>
  <c r="B8" i="10"/>
  <c r="E98" i="11"/>
  <c r="E175" i="11"/>
  <c r="E170" i="11"/>
  <c r="E150" i="11"/>
  <c r="E44" i="11"/>
  <c r="C14" i="10"/>
  <c r="C12" i="10" s="1"/>
  <c r="C17" i="10" s="1"/>
  <c r="C8" i="10"/>
  <c r="B3" i="10"/>
  <c r="E162" i="11"/>
  <c r="E156" i="11"/>
  <c r="E43" i="11" s="1"/>
  <c r="E45" i="11"/>
  <c r="B2" i="10"/>
  <c r="B5" i="10"/>
  <c r="B44" i="10" s="1"/>
  <c r="C16" i="12"/>
  <c r="C4" i="12"/>
  <c r="B4" i="12"/>
  <c r="B16" i="12"/>
  <c r="C2" i="10"/>
  <c r="B13" i="10"/>
  <c r="E42" i="11"/>
  <c r="E193" i="11" l="1"/>
  <c r="E142" i="11"/>
  <c r="E34" i="11" s="1"/>
  <c r="E70" i="11"/>
  <c r="E71" i="11"/>
  <c r="E66" i="11"/>
  <c r="E35" i="11"/>
  <c r="E60" i="11"/>
  <c r="E74" i="11"/>
  <c r="C142" i="11"/>
  <c r="C34" i="11" s="1"/>
  <c r="E51" i="11"/>
  <c r="B15" i="10"/>
  <c r="B18" i="12"/>
  <c r="B21" i="12" s="1"/>
  <c r="B22" i="12" s="1"/>
  <c r="B23" i="12" s="1"/>
  <c r="C8" i="11" s="1"/>
  <c r="B10" i="12"/>
  <c r="B11" i="12" s="1"/>
  <c r="B12" i="12" s="1"/>
  <c r="C9" i="11" s="1"/>
  <c r="C67" i="11" s="1"/>
  <c r="C18" i="12"/>
  <c r="C21" i="12" s="1"/>
  <c r="C22" i="12" s="1"/>
  <c r="C23" i="12" s="1"/>
  <c r="C10" i="12"/>
  <c r="E111" i="11"/>
  <c r="E114" i="11" s="1"/>
  <c r="E103" i="11"/>
  <c r="E182" i="11"/>
  <c r="E109" i="11" s="1"/>
  <c r="E174" i="11"/>
  <c r="E164" i="11"/>
  <c r="E167" i="11" s="1"/>
  <c r="C15" i="10"/>
  <c r="C18" i="10"/>
  <c r="C19" i="10" s="1"/>
  <c r="B12" i="10"/>
  <c r="B18" i="10" s="1"/>
  <c r="E195" i="11" l="1"/>
  <c r="E144" i="11"/>
  <c r="E33" i="11" s="1"/>
  <c r="E73" i="11"/>
  <c r="E124" i="11"/>
  <c r="C35" i="11"/>
  <c r="E125" i="11"/>
  <c r="C144" i="11"/>
  <c r="C33" i="11" s="1"/>
  <c r="E52" i="11"/>
  <c r="E169" i="11"/>
  <c r="E59" i="11" s="1"/>
  <c r="E106" i="11"/>
  <c r="E95" i="11"/>
  <c r="E97" i="11" s="1"/>
  <c r="E121" i="11"/>
  <c r="E8" i="11"/>
  <c r="E19" i="11"/>
  <c r="E12" i="11"/>
  <c r="E38" i="11"/>
  <c r="E31" i="11"/>
  <c r="E32" i="11"/>
  <c r="C11" i="12"/>
  <c r="C12" i="12" s="1"/>
  <c r="E36" i="11"/>
  <c r="E110" i="11"/>
  <c r="E113" i="11" s="1"/>
  <c r="E176" i="11"/>
  <c r="E177" i="11" s="1"/>
  <c r="B17" i="10"/>
  <c r="B19" i="10" s="1"/>
  <c r="E165" i="11"/>
  <c r="E196" i="11" l="1"/>
  <c r="E107" i="11"/>
  <c r="E53" i="11"/>
  <c r="E69" i="11"/>
  <c r="E99" i="11"/>
  <c r="E62" i="11"/>
  <c r="E112" i="11"/>
  <c r="E179" i="11"/>
  <c r="E181" i="11" s="1"/>
  <c r="E108" i="11" s="1"/>
  <c r="E10" i="11"/>
  <c r="E18" i="11"/>
  <c r="E105" i="11"/>
  <c r="E122" i="11"/>
  <c r="E11" i="11"/>
  <c r="E9" i="11"/>
  <c r="E67" i="11" l="1"/>
  <c r="E126" i="11"/>
  <c r="E72" i="11"/>
  <c r="E54" i="11"/>
  <c r="E61" i="11" l="1"/>
  <c r="E46" i="11"/>
  <c r="H85" i="8" l="1"/>
  <c r="D84" i="9"/>
</calcChain>
</file>

<file path=xl/sharedStrings.xml><?xml version="1.0" encoding="utf-8"?>
<sst xmlns="http://schemas.openxmlformats.org/spreadsheetml/2006/main" count="478" uniqueCount="334">
  <si>
    <t>DEMONSTRATIVOS PADRÕES</t>
  </si>
  <si>
    <t>(R$ 000)</t>
  </si>
  <si>
    <t>BALANÇO PATRIMONIAL</t>
  </si>
  <si>
    <t>ATIVO TOTAL</t>
  </si>
  <si>
    <t xml:space="preserve">   ATIVO CIRCULANTE</t>
  </si>
  <si>
    <t xml:space="preserve">      Disponibilidades</t>
  </si>
  <si>
    <t xml:space="preserve">      Valores a Receber</t>
  </si>
  <si>
    <t xml:space="preserve">      Estoques</t>
  </si>
  <si>
    <t xml:space="preserve">      Outros Ativos Circulantes</t>
  </si>
  <si>
    <t xml:space="preserve">   ATIVO NÃO CIRCULANTE</t>
  </si>
  <si>
    <t xml:space="preserve">      Ativo Realizável a Longo Prazo</t>
  </si>
  <si>
    <t xml:space="preserve">      Ativo Permanente</t>
  </si>
  <si>
    <t xml:space="preserve">           Investimentos</t>
  </si>
  <si>
    <t xml:space="preserve">           Imobilizado</t>
  </si>
  <si>
    <t xml:space="preserve">           Intangível</t>
  </si>
  <si>
    <t>PASSIVO TOTAL E PATRIMÔNIO LÍQUIDO</t>
  </si>
  <si>
    <t xml:space="preserve">   PASSIVO CIRCULANTE</t>
  </si>
  <si>
    <t xml:space="preserve">      Empréstimos e Financiamentos</t>
  </si>
  <si>
    <t xml:space="preserve">      Fornecedores</t>
  </si>
  <si>
    <t xml:space="preserve">      Outros Passivos de Curto Prazo</t>
  </si>
  <si>
    <t xml:space="preserve">   PASSIVO NÃO CIRCULANTE</t>
  </si>
  <si>
    <t xml:space="preserve">      Passivo Exigível a Longo Prazo</t>
  </si>
  <si>
    <t xml:space="preserve">           Empréstimos e Financiamentos</t>
  </si>
  <si>
    <t xml:space="preserve">           Provisões de Longo Prazo</t>
  </si>
  <si>
    <t xml:space="preserve">           Outros Passivos de Longo Prazo</t>
  </si>
  <si>
    <t xml:space="preserve">   PATRIMÔNIO LÍQUIDO</t>
  </si>
  <si>
    <t xml:space="preserve">      Capital Social</t>
  </si>
  <si>
    <t xml:space="preserve">      Reservas de Capital</t>
  </si>
  <si>
    <t xml:space="preserve">      Reservas de Reavaliação</t>
  </si>
  <si>
    <t xml:space="preserve">      Reservas de Lucros</t>
  </si>
  <si>
    <t xml:space="preserve">      Ajustes de Avaliação Patrimonial </t>
  </si>
  <si>
    <t xml:space="preserve">      Lucros/Prejuízos acumulados</t>
  </si>
  <si>
    <t xml:space="preserve">DEMONSTRAÇÃO DO RESULTADO DO EXERCÍCIO </t>
  </si>
  <si>
    <t>(=) RESULTADO BRUTO</t>
  </si>
  <si>
    <t>(-) Despesas Operacionais</t>
  </si>
  <si>
    <t xml:space="preserve">      Despesas com Vendas</t>
  </si>
  <si>
    <t xml:space="preserve">      Despesas Gerais e Administrativas</t>
  </si>
  <si>
    <t>(+) Receitas Financeiras</t>
  </si>
  <si>
    <t>(=) RESULTADO ANTES DOS JUROS E NÃO OPERACIONAL</t>
  </si>
  <si>
    <t>(-) Despesas Financeiras</t>
  </si>
  <si>
    <t>(=) RESULTADO ANTES IR/CSSL E DEDUÇÕES</t>
  </si>
  <si>
    <t>(-) Provisão para IR e CSLL</t>
  </si>
  <si>
    <t>(=) RESULTADO LÍQUIDO DO EXERCÍCIO</t>
  </si>
  <si>
    <t>DEMONSTRAÇÃO DO FLUXO DE CAIXA</t>
  </si>
  <si>
    <t>Caixa Líquido Atividades OPERACIONAIS</t>
  </si>
  <si>
    <t>Caixa Líquido Atividades de INVESTIMENTO</t>
  </si>
  <si>
    <t>Caixa Líquido Atividades de FINANCIAMENTO</t>
  </si>
  <si>
    <t>Variação Cambial sobre Caixa e Equivalentes</t>
  </si>
  <si>
    <t>AUMENTO/REDUÇÃO CAIXA E EQUIVALENTES</t>
  </si>
  <si>
    <t>Saldo Inicial de Caixa e Equivalentes</t>
  </si>
  <si>
    <t>Saldo Final de Caixa e Equivalentes</t>
  </si>
  <si>
    <t>DEMONSTRAÇÃO DO VALOR ADICIONADO</t>
  </si>
  <si>
    <t>Receitas</t>
  </si>
  <si>
    <t>(-) Insumos Adquiridos de Terceiros</t>
  </si>
  <si>
    <t>(=) Valor Adicionado Bruto</t>
  </si>
  <si>
    <t>(-) Retenções</t>
  </si>
  <si>
    <t>(=) Valor Adicionado Líquido Produzido</t>
  </si>
  <si>
    <t>(+) Vlr Adicionado Recebido em Transferência</t>
  </si>
  <si>
    <t xml:space="preserve">   DISTRIBUIÇÃO DO VALOR ADICIONADO</t>
  </si>
  <si>
    <t xml:space="preserve">           Pessoal</t>
  </si>
  <si>
    <t xml:space="preserve">           Impostos, Taxas e Contribuições</t>
  </si>
  <si>
    <t xml:space="preserve">           Remuneração de Capitais Próprios</t>
  </si>
  <si>
    <t xml:space="preserve">           Outros</t>
  </si>
  <si>
    <t xml:space="preserve">      Aplicações Financeiras</t>
  </si>
  <si>
    <t xml:space="preserve">      Obrigações Sociais e Trabalhistas</t>
  </si>
  <si>
    <t xml:space="preserve">      Obrigações Fiscais </t>
  </si>
  <si>
    <t xml:space="preserve">      Provisões</t>
  </si>
  <si>
    <t xml:space="preserve">           Tributos Diferidos</t>
  </si>
  <si>
    <t xml:space="preserve">      Participação de acionistas não controladores</t>
  </si>
  <si>
    <t>(=) RECEITA DE VENDAS</t>
  </si>
  <si>
    <t>(-) Custo dos bens e serviços vendidos</t>
  </si>
  <si>
    <t xml:space="preserve">      Outras Receitas Operacionais</t>
  </si>
  <si>
    <t xml:space="preserve">      Outras Despesas Operacionais</t>
  </si>
  <si>
    <t xml:space="preserve">      Depreciação, Amortização e Exaustão</t>
  </si>
  <si>
    <t>(=) VALOR ADICIONADO TOTAL</t>
  </si>
  <si>
    <t xml:space="preserve">           Remuneração de Capitais Terceiros</t>
  </si>
  <si>
    <t>DEMONSTRAÇÃO DO RESULTADO DO EXERCÍCIO  Ajustada</t>
  </si>
  <si>
    <t>(+) Depreciação</t>
  </si>
  <si>
    <t xml:space="preserve">E B I T D A </t>
  </si>
  <si>
    <t>(-) Depreciação</t>
  </si>
  <si>
    <t xml:space="preserve">E B I T  </t>
  </si>
  <si>
    <t>(-) IR - 34%</t>
  </si>
  <si>
    <t xml:space="preserve">NOPAT </t>
  </si>
  <si>
    <t>(+) Benefício Fiscal Dívida</t>
  </si>
  <si>
    <t>(+/-) Ajuste Alíquotas</t>
  </si>
  <si>
    <t xml:space="preserve">      Outros Resultados</t>
  </si>
  <si>
    <t xml:space="preserve">      Resultado da Equivalência Patrimonial</t>
  </si>
  <si>
    <t>Balanços Patrimoniais Consolidados (R$ mil)</t>
  </si>
  <si>
    <t>Ativo Circulante</t>
  </si>
  <si>
    <t>Realizável a Longo Prazo</t>
  </si>
  <si>
    <t>Permanente</t>
  </si>
  <si>
    <t>TOTAL ATIVO</t>
  </si>
  <si>
    <t>Passivo Circulante</t>
  </si>
  <si>
    <t>Exigível no Longo Prazo</t>
  </si>
  <si>
    <t>Patrimônio Líquido</t>
  </si>
  <si>
    <t>TOTAL PASSIVO + PL</t>
  </si>
  <si>
    <t>Investimento/Recursos de Terceiros e Próprios (R$ mil)</t>
  </si>
  <si>
    <t>Investimento</t>
  </si>
  <si>
    <t>Recursos de Terceiros Onerosos</t>
  </si>
  <si>
    <t>Recursos Próprios</t>
  </si>
  <si>
    <t>Recursos Terceiros + Próprios</t>
  </si>
  <si>
    <t>Confere</t>
  </si>
  <si>
    <t>ok</t>
  </si>
  <si>
    <t>Representação Gráfica dos Balanços Patrimoniais</t>
  </si>
  <si>
    <t>Ativo Total (R$ mil)</t>
  </si>
  <si>
    <t>INDICADORES FINANCEIROS</t>
  </si>
  <si>
    <t>DESEMPENHO OPERACIONAL</t>
  </si>
  <si>
    <t xml:space="preserve">Margem Bruta </t>
  </si>
  <si>
    <t>Giro dos Investimentos</t>
  </si>
  <si>
    <t>Giro dos Ativos</t>
  </si>
  <si>
    <t>Margem Operacional Restrita</t>
  </si>
  <si>
    <t>Margem Operacional Ampla</t>
  </si>
  <si>
    <t>ROCE - Retorno s/ Capital Investido</t>
  </si>
  <si>
    <t>Empresas com NOPAT Amplo Positivo</t>
  </si>
  <si>
    <t>Empresas com NOPAT Restrito Positivo</t>
  </si>
  <si>
    <t>Vida Útil Média da Empresa (anos)</t>
  </si>
  <si>
    <t>DESEMPENHO DE VENDAS</t>
  </si>
  <si>
    <t>Evolução das Vendas</t>
  </si>
  <si>
    <t>Evolução do NOPAT Amplo</t>
  </si>
  <si>
    <t>Evolução do NOPAT Restrito</t>
  </si>
  <si>
    <t>Despesas Operacionais / Vendas</t>
  </si>
  <si>
    <t>Despesas Financeiras (Líq IR) / Vendas</t>
  </si>
  <si>
    <t>Margem Líquida</t>
  </si>
  <si>
    <t xml:space="preserve">Prov do IR do Exercício/Rec Líq </t>
  </si>
  <si>
    <t>Empresas com Resultado Líquido positivo</t>
  </si>
  <si>
    <t>GERAÇÃO DE CAIXA E EQUILÍBRIO FINANCEIRO</t>
  </si>
  <si>
    <t>Liquidez Corrente</t>
  </si>
  <si>
    <t>Liquidez Seca</t>
  </si>
  <si>
    <t>EBITDA / Vendas</t>
  </si>
  <si>
    <t>EBITDA / Despesas Financeiras</t>
  </si>
  <si>
    <t>NIG em Dias de Venda</t>
  </si>
  <si>
    <t>NIG / Vendas</t>
  </si>
  <si>
    <t>CCL/NIG</t>
  </si>
  <si>
    <t>ESTRUTURA DE CAPITAL E ALAVANCAGEM</t>
  </si>
  <si>
    <t>Endividamento Total (Fim de Ano)</t>
  </si>
  <si>
    <t>Endividamento Total (Médio)</t>
  </si>
  <si>
    <t>Endividamento Oneroso Médio</t>
  </si>
  <si>
    <t>Passivo Total Médio / Ativo Total Médio</t>
  </si>
  <si>
    <t>Passivo Oneroso Médio / Ativo Total Médio</t>
  </si>
  <si>
    <t>Grau de Alavancagem Financeira</t>
  </si>
  <si>
    <t>CRIAÇÃO DE VALOR AO ACIONISTA</t>
  </si>
  <si>
    <t>ROE - Retorno sobre o Patrimônio Líquido</t>
  </si>
  <si>
    <t>Prêmio pelo Risco do Acionista (%)</t>
  </si>
  <si>
    <t>Prêmio pelo Risco do Acionista (R$)</t>
  </si>
  <si>
    <t>Prêmio pelo Risco do Acionista / Patrimônio Liquido</t>
  </si>
  <si>
    <t>Resultado do Acionista pela Alavancagem</t>
  </si>
  <si>
    <t>MÉTRICAS DE VALOR</t>
  </si>
  <si>
    <t>Ke - Custo do Capital Próprio</t>
  </si>
  <si>
    <t>WACC - Custo Total de Capital</t>
  </si>
  <si>
    <t>ROE Econômico</t>
  </si>
  <si>
    <t>ROCE Econômico</t>
  </si>
  <si>
    <t>Valor da Empresa / Capital Investido</t>
  </si>
  <si>
    <t>RANKING DOS SETORES</t>
  </si>
  <si>
    <t>DISTRIBUIÇÃO DO VALOR ADICIONADO</t>
  </si>
  <si>
    <t>Valor adicionado</t>
  </si>
  <si>
    <t>Pessoal</t>
  </si>
  <si>
    <t>Impostos, Taxas e Contribuições</t>
  </si>
  <si>
    <t>Remuneração de Capitais de Terceiros</t>
  </si>
  <si>
    <t>Remuneração de Capitais Próprios</t>
  </si>
  <si>
    <t>Outros</t>
  </si>
  <si>
    <t>EMPRESA x ECONOMIA</t>
  </si>
  <si>
    <t>Inflação - IPCA</t>
  </si>
  <si>
    <t>Poupança</t>
  </si>
  <si>
    <t>CDI</t>
  </si>
  <si>
    <t>Selic</t>
  </si>
  <si>
    <t>Ibovespa</t>
  </si>
  <si>
    <t>PLANILHAS AUXILIARES</t>
  </si>
  <si>
    <t>Outras variáveis</t>
  </si>
  <si>
    <t xml:space="preserve">Depreciação/Amort/Exaustão do Período </t>
  </si>
  <si>
    <t>CÁLCULO DO INVESTIMENTO MÉDIO</t>
  </si>
  <si>
    <t>Investimento Final de Ano</t>
  </si>
  <si>
    <t>Investimento Médio</t>
  </si>
  <si>
    <t>CÁLCULO DO NIG EM DIAS DE VENDA</t>
  </si>
  <si>
    <t>Investimentos Cíclicos</t>
  </si>
  <si>
    <t xml:space="preserve">   Valores a Receber</t>
  </si>
  <si>
    <t xml:space="preserve">   Estoques</t>
  </si>
  <si>
    <t>Financiamentos Cíclicos</t>
  </si>
  <si>
    <t xml:space="preserve">   Fornecedores</t>
  </si>
  <si>
    <t xml:space="preserve">   Despesas Operacionais</t>
  </si>
  <si>
    <t>NIG em R$</t>
  </si>
  <si>
    <t>Receita Líquida de Vendas do Exercício</t>
  </si>
  <si>
    <t>NIG em dias de Venda</t>
  </si>
  <si>
    <t>CÁLCULO DO ENDIVIDAMENTO TOTAL MÉDIO</t>
  </si>
  <si>
    <t>Passivo Total Médio</t>
  </si>
  <si>
    <t>Patrimônio Líquido Total Médio</t>
  </si>
  <si>
    <t>Endividamento Total Médio</t>
  </si>
  <si>
    <t>CÁLCULO DO ENDIVIDAMENTO ONEROSO MÉDIO</t>
  </si>
  <si>
    <t>Passivo Oneroso Médio</t>
  </si>
  <si>
    <t>Ativo Total Médio</t>
  </si>
  <si>
    <t>SELIC - Ipeadata</t>
  </si>
  <si>
    <t>CÁLCULO DO WACC</t>
  </si>
  <si>
    <t>Patrimônio Líquido Médio</t>
  </si>
  <si>
    <t>Percentual do Passivo Oneroso sobre o Investimento</t>
  </si>
  <si>
    <t>Ki</t>
  </si>
  <si>
    <t>Percentual de Capital Próprio</t>
  </si>
  <si>
    <t xml:space="preserve">Custo do Capital Próprio (Ke) </t>
  </si>
  <si>
    <t>ROE Econômico (em Reais)</t>
  </si>
  <si>
    <t xml:space="preserve">CÁLCULO DA VIDA MÉDIA ÚTIL DA EMPRESA </t>
  </si>
  <si>
    <t>Total do Imobilizado Bruto + Diferido Bruto + Intangível Bruto</t>
  </si>
  <si>
    <t>Depreciação, Amortização e Exaustão do Período</t>
  </si>
  <si>
    <t>RESULTADO OPERACIONAL AJUSTADO AMPLO</t>
  </si>
  <si>
    <t xml:space="preserve">RECEITA LÍQUIDA DE VENDAS </t>
  </si>
  <si>
    <t>(-) Custo dos Produtos Vendidos</t>
  </si>
  <si>
    <t>(+/-) Outras Receitas/Despesas Operacionais</t>
  </si>
  <si>
    <t>(+/-) Resultado de Equivalência Patrimonial</t>
  </si>
  <si>
    <t>(+/-) Resultado Não Operacional</t>
  </si>
  <si>
    <t>(=) RESULTADO OPERACIONAL AJUSTADO AMPLO (Antes IR)</t>
  </si>
  <si>
    <t>(+/-) Imposto de Renda</t>
  </si>
  <si>
    <t>RESULTADO OPERACIONAL AJUSTADO RESTRITO</t>
  </si>
  <si>
    <t>RECEITA LÍQUIDA DE VENDAS</t>
  </si>
  <si>
    <t>(=) LUCRO BRUTO</t>
  </si>
  <si>
    <t>(+/-) Outras Receitas e Despesas Operacionais</t>
  </si>
  <si>
    <t>(=) RESULTADO OPERACIONAL AJUSTADO RESTRITO (Antes IR)</t>
  </si>
  <si>
    <t>(=) NOPAT RESTRITO</t>
  </si>
  <si>
    <t>(=) RESULTADO OPERACIONAL AJUSTADO AMPLO (Após IR) NOPAT AMPLO</t>
  </si>
  <si>
    <t>Evolução do NOPAT RESTRITO</t>
  </si>
  <si>
    <t>Evolução do NOPAT AMPLO</t>
  </si>
  <si>
    <t>Provisão do IR do Exercício / Vendas</t>
  </si>
  <si>
    <t>ROE Real</t>
  </si>
  <si>
    <t>Prêmio Pelo Risco do acionista Real</t>
  </si>
  <si>
    <t>ROCE Real</t>
  </si>
  <si>
    <t>Ajuste de Avaliação Patrimonial/PL inicial</t>
  </si>
  <si>
    <t xml:space="preserve">      Perdas pela Não Recuperabilidade de Ativos</t>
  </si>
  <si>
    <t xml:space="preserve">      Ajustes Acumulados de Conversão</t>
  </si>
  <si>
    <t xml:space="preserve">      Passivos sobre Ativos Não-Correntes a Venda e Descontinuados</t>
  </si>
  <si>
    <t xml:space="preserve">           Passivos sobre Ativos Não-Correntes a Venda e Descontinuados</t>
  </si>
  <si>
    <t xml:space="preserve">           Lucros e Receitas a Apropriar</t>
  </si>
  <si>
    <t>(+) Resultado Líquido de Operações Descontinuadas</t>
  </si>
  <si>
    <t>(=) RESULTADO LÍQUIDO DAS OPERAÇÕES CONTINUADAS</t>
  </si>
  <si>
    <t>Dividendos e Juros sobre Capital Próprio</t>
  </si>
  <si>
    <t>Conta</t>
  </si>
  <si>
    <t>Descrição</t>
  </si>
  <si>
    <t>2.01</t>
  </si>
  <si>
    <t>2.01.01</t>
  </si>
  <si>
    <t>2.01.02</t>
  </si>
  <si>
    <t>2.01.03</t>
  </si>
  <si>
    <t>2.01.04</t>
  </si>
  <si>
    <t>2.01.05</t>
  </si>
  <si>
    <t>2.01.06</t>
  </si>
  <si>
    <t>2.01.07</t>
  </si>
  <si>
    <t>2.02</t>
  </si>
  <si>
    <t>2.02.01</t>
  </si>
  <si>
    <t>2.02.02</t>
  </si>
  <si>
    <t>2.02.03</t>
  </si>
  <si>
    <t>2.02.04</t>
  </si>
  <si>
    <t>2.02.05</t>
  </si>
  <si>
    <t>2.02.06</t>
  </si>
  <si>
    <t>2.03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</si>
  <si>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</si>
  <si>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</si>
  <si>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</si>
  <si>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</si>
  <si>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</si>
  <si>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</si>
  <si>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</si>
  <si>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</si>
  <si>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</si>
  <si>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1.01</t>
  </si>
  <si>
    <t>1.01.01</t>
  </si>
  <si>
    <t>1.01.02</t>
  </si>
  <si>
    <t>1.01.03</t>
  </si>
  <si>
    <t>1.01.04</t>
  </si>
  <si>
    <t>1.02</t>
  </si>
  <si>
    <t>1.02.01</t>
  </si>
  <si>
    <t>1.02.02</t>
  </si>
  <si>
    <t>1.02.03</t>
  </si>
  <si>
    <t>1.02.04</t>
  </si>
  <si>
    <t>3.01</t>
  </si>
  <si>
    <t>3.02</t>
  </si>
  <si>
    <t>3.03</t>
  </si>
  <si>
    <t>3.04</t>
  </si>
  <si>
    <t>3.04.01</t>
  </si>
  <si>
    <t>3.04.02</t>
  </si>
  <si>
    <t>3.04.03</t>
  </si>
  <si>
    <t>3.04.04</t>
  </si>
  <si>
    <t>3.04.05</t>
  </si>
  <si>
    <t>3.04.06</t>
  </si>
  <si>
    <t>3.05</t>
  </si>
  <si>
    <t>3.06.01</t>
  </si>
  <si>
    <t>3.06.02</t>
  </si>
  <si>
    <t>3.07</t>
  </si>
  <si>
    <t>3.08</t>
  </si>
  <si>
    <t>3.09</t>
  </si>
  <si>
    <t>3.10</t>
  </si>
  <si>
    <t>3.11</t>
  </si>
  <si>
    <t>6.01</t>
  </si>
  <si>
    <t>6.02</t>
  </si>
  <si>
    <t>6.03</t>
  </si>
  <si>
    <t>6.04</t>
  </si>
  <si>
    <t>6.05</t>
  </si>
  <si>
    <t>6.05.01</t>
  </si>
  <si>
    <t>6.05.02</t>
  </si>
  <si>
    <t>7.01</t>
  </si>
  <si>
    <t>7.02</t>
  </si>
  <si>
    <t>7.03</t>
  </si>
  <si>
    <t>7.04</t>
  </si>
  <si>
    <t>7.04.01</t>
  </si>
  <si>
    <t>7.05</t>
  </si>
  <si>
    <t>7.06</t>
  </si>
  <si>
    <t>7.07</t>
  </si>
  <si>
    <t>7.08</t>
  </si>
  <si>
    <t>7.08.01</t>
  </si>
  <si>
    <t>7.08.02</t>
  </si>
  <si>
    <t>7.08.03</t>
  </si>
  <si>
    <t>7.08.04</t>
  </si>
  <si>
    <t>7.08.05</t>
  </si>
  <si>
    <t>Número de Ações (Mil)</t>
  </si>
  <si>
    <t>SVA</t>
  </si>
  <si>
    <t>ROE</t>
  </si>
  <si>
    <t>Ke</t>
  </si>
  <si>
    <t>VALOR DE MERCADO DO PL</t>
  </si>
  <si>
    <t>Patrimônio Líquido Médio a Mercado</t>
  </si>
  <si>
    <t>WACC - Custo Total de Capital  a Mercado</t>
  </si>
  <si>
    <t>ROE Econômico (em Reais) a Mercado</t>
  </si>
  <si>
    <r>
      <t xml:space="preserve">CÁLCULO DO WACC </t>
    </r>
    <r>
      <rPr>
        <b/>
        <sz val="10"/>
        <color indexed="10"/>
        <rFont val="Tahoma"/>
        <family val="2"/>
      </rPr>
      <t>A MERCADO</t>
    </r>
  </si>
  <si>
    <r>
      <rPr>
        <b/>
        <sz val="10"/>
        <color indexed="9"/>
        <rFont val="Tahoma"/>
        <family val="2"/>
      </rPr>
      <t>INDICADORES</t>
    </r>
    <r>
      <rPr>
        <b/>
        <sz val="10"/>
        <color indexed="10"/>
        <rFont val="Tahoma"/>
        <family val="2"/>
      </rPr>
      <t xml:space="preserve"> A VALOR DE MERCADO</t>
    </r>
  </si>
  <si>
    <t xml:space="preserve">ROE  </t>
  </si>
  <si>
    <r>
      <t xml:space="preserve">SVA - </t>
    </r>
    <r>
      <rPr>
        <b/>
        <i/>
        <sz val="10"/>
        <color indexed="30"/>
        <rFont val="Tahoma"/>
        <family val="2"/>
      </rPr>
      <t>SHAREHOLDER VALUE ADDED</t>
    </r>
  </si>
  <si>
    <t>ROE ECONÔMICO A MERCADO (ROE - Ke)</t>
  </si>
  <si>
    <t>Endividamento P/PL</t>
  </si>
  <si>
    <t>VALOR DE MERCADO (MIL R$)</t>
  </si>
  <si>
    <t>Fonte: BM&amp;FBOVESPA</t>
  </si>
  <si>
    <t>Média Valor Mercado</t>
  </si>
  <si>
    <t>Dívidas/EBITDA</t>
  </si>
  <si>
    <t>Folga Financeira/Receita de Vendas</t>
  </si>
  <si>
    <t>Caixa/Dívidas</t>
  </si>
  <si>
    <t>PL MERCADO/PL CONTÁBIL</t>
  </si>
  <si>
    <t> 31/12/2016</t>
  </si>
  <si>
    <t>EBIT/ Vendas</t>
  </si>
  <si>
    <t>EVA</t>
  </si>
  <si>
    <t>Empresas com EVA positivo</t>
  </si>
  <si>
    <t>EVA/WACC</t>
  </si>
  <si>
    <t>Empresa com EVA/WACC positivo</t>
  </si>
  <si>
    <t> 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</si>
</sst>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* #,##0.00_-;\-&quot;R$&quot;* #,##0.00_-;_-&quot;R$&quot;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* #,##0.0_);_(* \(#,##0.0\);_(* \-??_);_(@_)"/>
    <numFmt numFmtId="168" formatCode="&quot;R$ &quot;#,##0"/>
    <numFmt numFmtId="169" formatCode="_(* #,##0_);_(* \(#,##0\);_(* \-??_);_(@_)"/>
    <numFmt numFmtId="170" formatCode="_(* #,##0.00_);_(* \(#,##0.00\);_(* \-??_);_(@_)"/>
  </numFmts>
  <fonts count="32" x14ac:knownFonts="1">
    <font>
      <sz val="11"/>
      <color theme="1"/>
      <name val="Calibri"/>
      <family val="2"/>
      <scheme val="minor"/>
    </font>
    <font>
      <b/>
      <sz val="9"/>
      <color indexed="9"/>
      <name val="Trebuchet MS"/>
      <family val="2"/>
    </font>
    <font>
      <sz val="9"/>
      <color indexed="23"/>
      <name val="Trebuchet MS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sz val="10"/>
      <color indexed="9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21"/>
      <name val="Tahoma"/>
      <family val="2"/>
    </font>
    <font>
      <b/>
      <sz val="10"/>
      <color indexed="18"/>
      <name val="Tahoma"/>
      <family val="2"/>
    </font>
    <font>
      <sz val="11"/>
      <color indexed="8"/>
      <name val="Calibri"/>
      <family val="2"/>
    </font>
    <font>
      <b/>
      <sz val="10"/>
      <color indexed="17"/>
      <name val="Tahoma"/>
      <family val="2"/>
    </font>
    <font>
      <b/>
      <sz val="10"/>
      <color indexed="56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name val="Tahoma"/>
      <family val="2"/>
    </font>
    <font>
      <b/>
      <sz val="10"/>
      <color indexed="63"/>
      <name val="Tahoma"/>
      <family val="2"/>
    </font>
    <font>
      <b/>
      <sz val="10"/>
      <color indexed="21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1"/>
      <color indexed="8"/>
      <name val="Calibri"/>
      <family val="2"/>
    </font>
    <font>
      <b/>
      <i/>
      <sz val="10"/>
      <color indexed="30"/>
      <name val="Tahoma"/>
      <family val="2"/>
    </font>
    <font>
      <sz val="7"/>
      <color indexed="8"/>
      <name val="Arial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7"/>
      <color indexed="8"/>
      <name val="Verdana"/>
      <family val="2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9"/>
        <bgColor indexed="40"/>
      </patternFill>
    </fill>
    <fill>
      <patternFill patternType="solid">
        <fgColor indexed="63"/>
        <bgColor indexed="59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22"/>
      </patternFill>
    </fill>
    <fill>
      <patternFill patternType="solid">
        <fgColor indexed="28"/>
        <bgColor indexed="22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9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22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341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14" fontId="1" fillId="2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49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3" fontId="10" fillId="0" borderId="0" xfId="0" applyNumberFormat="1" applyFont="1" applyBorder="1"/>
    <xf numFmtId="3" fontId="4" fillId="0" borderId="0" xfId="0" applyNumberFormat="1" applyFont="1" applyBorder="1"/>
    <xf numFmtId="37" fontId="4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6" fillId="3" borderId="2" xfId="0" applyFont="1" applyFill="1" applyBorder="1"/>
    <xf numFmtId="0" fontId="6" fillId="3" borderId="2" xfId="0" applyNumberFormat="1" applyFont="1" applyFill="1" applyBorder="1" applyAlignment="1">
      <alignment horizontal="center"/>
    </xf>
    <xf numFmtId="0" fontId="7" fillId="0" borderId="2" xfId="0" applyFont="1" applyBorder="1"/>
    <xf numFmtId="165" fontId="7" fillId="0" borderId="2" xfId="4" applyNumberFormat="1" applyFont="1" applyBorder="1" applyAlignment="1">
      <alignment horizontal="right"/>
    </xf>
    <xf numFmtId="0" fontId="8" fillId="0" borderId="2" xfId="0" applyFont="1" applyBorder="1"/>
    <xf numFmtId="165" fontId="8" fillId="0" borderId="2" xfId="4" applyNumberFormat="1" applyFont="1" applyBorder="1" applyAlignment="1">
      <alignment horizontal="right"/>
    </xf>
    <xf numFmtId="0" fontId="9" fillId="0" borderId="2" xfId="0" applyFont="1" applyFill="1" applyBorder="1"/>
    <xf numFmtId="165" fontId="9" fillId="0" borderId="2" xfId="4" applyNumberFormat="1" applyFont="1" applyBorder="1" applyAlignment="1">
      <alignment horizontal="right"/>
    </xf>
    <xf numFmtId="165" fontId="9" fillId="0" borderId="2" xfId="4" applyNumberFormat="1" applyFont="1" applyFill="1" applyBorder="1" applyAlignment="1">
      <alignment horizontal="right"/>
    </xf>
    <xf numFmtId="0" fontId="9" fillId="0" borderId="2" xfId="0" applyFont="1" applyBorder="1"/>
    <xf numFmtId="165" fontId="8" fillId="0" borderId="2" xfId="4" applyNumberFormat="1" applyFont="1" applyBorder="1"/>
    <xf numFmtId="165" fontId="9" fillId="0" borderId="2" xfId="4" applyNumberFormat="1" applyFont="1" applyFill="1" applyBorder="1"/>
    <xf numFmtId="165" fontId="9" fillId="0" borderId="2" xfId="4" applyNumberFormat="1" applyFont="1" applyBorder="1"/>
    <xf numFmtId="3" fontId="7" fillId="0" borderId="2" xfId="0" applyNumberFormat="1" applyFont="1" applyBorder="1"/>
    <xf numFmtId="3" fontId="8" fillId="0" borderId="2" xfId="0" applyNumberFormat="1" applyFont="1" applyBorder="1"/>
    <xf numFmtId="3" fontId="9" fillId="0" borderId="2" xfId="0" applyNumberFormat="1" applyFont="1" applyBorder="1"/>
    <xf numFmtId="3" fontId="9" fillId="0" borderId="2" xfId="0" applyNumberFormat="1" applyFont="1" applyFill="1" applyBorder="1"/>
    <xf numFmtId="0" fontId="12" fillId="0" borderId="2" xfId="0" applyFont="1" applyBorder="1"/>
    <xf numFmtId="165" fontId="12" fillId="0" borderId="2" xfId="4" applyNumberFormat="1" applyFont="1" applyBorder="1"/>
    <xf numFmtId="37" fontId="8" fillId="0" borderId="2" xfId="0" applyNumberFormat="1" applyFont="1" applyBorder="1"/>
    <xf numFmtId="0" fontId="8" fillId="0" borderId="2" xfId="0" applyFont="1" applyFill="1" applyBorder="1"/>
    <xf numFmtId="165" fontId="7" fillId="0" borderId="2" xfId="4" applyNumberFormat="1" applyFont="1" applyBorder="1"/>
    <xf numFmtId="165" fontId="8" fillId="0" borderId="2" xfId="4" applyNumberFormat="1" applyFont="1" applyFill="1" applyBorder="1"/>
    <xf numFmtId="0" fontId="0" fillId="0" borderId="2" xfId="0" applyBorder="1"/>
    <xf numFmtId="165" fontId="0" fillId="0" borderId="2" xfId="4" applyNumberFormat="1" applyFont="1" applyBorder="1"/>
    <xf numFmtId="0" fontId="13" fillId="0" borderId="2" xfId="0" applyFont="1" applyBorder="1"/>
    <xf numFmtId="165" fontId="13" fillId="0" borderId="2" xfId="4" applyNumberFormat="1" applyFont="1" applyBorder="1"/>
    <xf numFmtId="165" fontId="0" fillId="0" borderId="0" xfId="0" applyNumberFormat="1"/>
    <xf numFmtId="3" fontId="3" fillId="3" borderId="2" xfId="0" applyNumberFormat="1" applyFont="1" applyFill="1" applyBorder="1"/>
    <xf numFmtId="0" fontId="15" fillId="0" borderId="3" xfId="1" applyFont="1" applyFill="1" applyBorder="1" applyAlignment="1">
      <alignment horizontal="center"/>
    </xf>
    <xf numFmtId="14" fontId="15" fillId="0" borderId="4" xfId="1" applyNumberFormat="1" applyFont="1" applyFill="1" applyBorder="1" applyAlignment="1">
      <alignment horizontal="center"/>
    </xf>
    <xf numFmtId="14" fontId="15" fillId="0" borderId="0" xfId="1" applyNumberFormat="1" applyFont="1" applyFill="1" applyBorder="1" applyAlignment="1">
      <alignment horizontal="center"/>
    </xf>
    <xf numFmtId="0" fontId="14" fillId="0" borderId="0" xfId="1" applyFont="1" applyFill="1" applyAlignment="1"/>
    <xf numFmtId="0" fontId="15" fillId="0" borderId="5" xfId="1" applyFont="1" applyFill="1" applyBorder="1" applyAlignment="1"/>
    <xf numFmtId="166" fontId="0" fillId="0" borderId="6" xfId="3" applyNumberFormat="1" applyFont="1" applyFill="1" applyBorder="1" applyAlignment="1"/>
    <xf numFmtId="166" fontId="0" fillId="0" borderId="0" xfId="3" applyNumberFormat="1" applyFont="1" applyFill="1" applyBorder="1" applyAlignment="1"/>
    <xf numFmtId="0" fontId="14" fillId="0" borderId="0" xfId="1" applyFill="1" applyAlignment="1"/>
    <xf numFmtId="0" fontId="15" fillId="0" borderId="7" xfId="1" applyFont="1" applyFill="1" applyBorder="1" applyAlignment="1"/>
    <xf numFmtId="166" fontId="0" fillId="0" borderId="8" xfId="3" applyNumberFormat="1" applyFont="1" applyFill="1" applyBorder="1" applyAlignment="1"/>
    <xf numFmtId="0" fontId="15" fillId="0" borderId="9" xfId="1" applyFont="1" applyFill="1" applyBorder="1" applyAlignment="1"/>
    <xf numFmtId="165" fontId="14" fillId="0" borderId="10" xfId="1" applyNumberFormat="1" applyFill="1" applyBorder="1" applyAlignment="1"/>
    <xf numFmtId="165" fontId="14" fillId="0" borderId="0" xfId="1" applyNumberFormat="1" applyFill="1" applyBorder="1" applyAlignment="1"/>
    <xf numFmtId="0" fontId="15" fillId="0" borderId="11" xfId="1" applyFont="1" applyFill="1" applyBorder="1" applyAlignment="1"/>
    <xf numFmtId="0" fontId="16" fillId="4" borderId="0" xfId="1" applyFont="1" applyFill="1" applyBorder="1" applyAlignment="1"/>
    <xf numFmtId="0" fontId="14" fillId="0" borderId="0" xfId="1" applyFill="1" applyBorder="1" applyAlignment="1"/>
    <xf numFmtId="14" fontId="15" fillId="0" borderId="12" xfId="1" applyNumberFormat="1" applyFont="1" applyFill="1" applyBorder="1" applyAlignment="1">
      <alignment horizontal="center"/>
    </xf>
    <xf numFmtId="37" fontId="14" fillId="0" borderId="6" xfId="1" applyNumberFormat="1" applyFill="1" applyBorder="1" applyAlignment="1"/>
    <xf numFmtId="37" fontId="14" fillId="0" borderId="0" xfId="1" applyNumberFormat="1" applyFill="1" applyBorder="1" applyAlignment="1"/>
    <xf numFmtId="37" fontId="14" fillId="0" borderId="8" xfId="1" applyNumberFormat="1" applyFill="1" applyBorder="1" applyAlignment="1"/>
    <xf numFmtId="166" fontId="14" fillId="0" borderId="0" xfId="1" applyNumberFormat="1" applyFill="1" applyAlignment="1"/>
    <xf numFmtId="0" fontId="14" fillId="0" borderId="6" xfId="1" applyFill="1" applyBorder="1" applyAlignment="1">
      <alignment horizontal="center"/>
    </xf>
    <xf numFmtId="0" fontId="14" fillId="0" borderId="0" xfId="1" applyFill="1" applyBorder="1" applyAlignment="1">
      <alignment horizontal="center"/>
    </xf>
    <xf numFmtId="166" fontId="0" fillId="0" borderId="6" xfId="3" applyNumberFormat="1" applyFont="1" applyFill="1" applyBorder="1" applyAlignment="1">
      <alignment horizontal="center"/>
    </xf>
    <xf numFmtId="166" fontId="0" fillId="0" borderId="0" xfId="3" applyNumberFormat="1" applyFont="1" applyFill="1" applyBorder="1" applyAlignment="1">
      <alignment horizontal="center"/>
    </xf>
    <xf numFmtId="166" fontId="0" fillId="0" borderId="8" xfId="3" applyNumberFormat="1" applyFont="1" applyFill="1" applyBorder="1" applyAlignment="1">
      <alignment horizontal="center"/>
    </xf>
    <xf numFmtId="0" fontId="15" fillId="0" borderId="3" xfId="1" applyFont="1" applyFill="1" applyBorder="1" applyAlignment="1">
      <alignment horizontal="left"/>
    </xf>
    <xf numFmtId="166" fontId="14" fillId="0" borderId="12" xfId="1" applyNumberFormat="1" applyFill="1" applyBorder="1" applyAlignment="1">
      <alignment horizontal="center"/>
    </xf>
    <xf numFmtId="166" fontId="14" fillId="0" borderId="0" xfId="1" applyNumberFormat="1" applyFill="1" applyBorder="1" applyAlignment="1">
      <alignment horizontal="center"/>
    </xf>
    <xf numFmtId="0" fontId="14" fillId="0" borderId="0" xfId="1" applyFill="1" applyAlignment="1">
      <alignment horizontal="center"/>
    </xf>
    <xf numFmtId="0" fontId="14" fillId="0" borderId="0" xfId="1"/>
    <xf numFmtId="0" fontId="15" fillId="0" borderId="0" xfId="1" applyFont="1" applyFill="1" applyAlignment="1"/>
    <xf numFmtId="0" fontId="15" fillId="0" borderId="13" xfId="1" applyFont="1" applyFill="1" applyBorder="1" applyAlignment="1"/>
    <xf numFmtId="0" fontId="14" fillId="0" borderId="8" xfId="1" applyFill="1" applyBorder="1" applyAlignment="1"/>
    <xf numFmtId="0" fontId="18" fillId="0" borderId="14" xfId="1" applyFont="1" applyFill="1" applyBorder="1" applyAlignment="1">
      <alignment horizontal="right"/>
    </xf>
    <xf numFmtId="0" fontId="19" fillId="0" borderId="15" xfId="1" applyFont="1" applyFill="1" applyBorder="1" applyAlignment="1"/>
    <xf numFmtId="0" fontId="19" fillId="0" borderId="16" xfId="1" applyFont="1" applyFill="1" applyBorder="1" applyAlignment="1"/>
    <xf numFmtId="0" fontId="20" fillId="0" borderId="0" xfId="0" applyFont="1" applyAlignment="1">
      <alignment horizontal="right"/>
    </xf>
    <xf numFmtId="0" fontId="3" fillId="5" borderId="17" xfId="0" applyFont="1" applyFill="1" applyBorder="1"/>
    <xf numFmtId="14" fontId="3" fillId="5" borderId="18" xfId="0" applyNumberFormat="1" applyFont="1" applyFill="1" applyBorder="1" applyAlignment="1">
      <alignment horizontal="center"/>
    </xf>
    <xf numFmtId="14" fontId="3" fillId="5" borderId="19" xfId="0" applyNumberFormat="1" applyFont="1" applyFill="1" applyBorder="1" applyAlignment="1">
      <alignment horizontal="center"/>
    </xf>
    <xf numFmtId="0" fontId="4" fillId="0" borderId="20" xfId="0" applyFont="1" applyBorder="1"/>
    <xf numFmtId="166" fontId="4" fillId="0" borderId="21" xfId="3" applyNumberFormat="1" applyFont="1" applyFill="1" applyBorder="1" applyAlignment="1" applyProtection="1"/>
    <xf numFmtId="166" fontId="4" fillId="0" borderId="22" xfId="3" applyNumberFormat="1" applyFont="1" applyFill="1" applyBorder="1" applyAlignment="1" applyProtection="1"/>
    <xf numFmtId="0" fontId="4" fillId="0" borderId="23" xfId="0" applyFont="1" applyBorder="1"/>
    <xf numFmtId="164" fontId="4" fillId="6" borderId="24" xfId="4" applyFont="1" applyFill="1" applyBorder="1" applyAlignment="1" applyProtection="1"/>
    <xf numFmtId="164" fontId="4" fillId="0" borderId="25" xfId="4" applyFont="1" applyFill="1" applyBorder="1" applyAlignment="1" applyProtection="1"/>
    <xf numFmtId="166" fontId="4" fillId="0" borderId="24" xfId="3" applyNumberFormat="1" applyFont="1" applyFill="1" applyBorder="1" applyAlignment="1" applyProtection="1"/>
    <xf numFmtId="166" fontId="4" fillId="0" borderId="25" xfId="3" applyNumberFormat="1" applyFont="1" applyFill="1" applyBorder="1" applyAlignment="1" applyProtection="1"/>
    <xf numFmtId="166" fontId="4" fillId="0" borderId="26" xfId="3" applyNumberFormat="1" applyFont="1" applyFill="1" applyBorder="1" applyAlignment="1" applyProtection="1"/>
    <xf numFmtId="9" fontId="4" fillId="6" borderId="24" xfId="3" applyFont="1" applyFill="1" applyBorder="1" applyAlignment="1" applyProtection="1"/>
    <xf numFmtId="166" fontId="4" fillId="2" borderId="26" xfId="3" applyNumberFormat="1" applyFont="1" applyFill="1" applyBorder="1" applyAlignment="1" applyProtection="1"/>
    <xf numFmtId="0" fontId="4" fillId="0" borderId="27" xfId="0" applyFont="1" applyBorder="1"/>
    <xf numFmtId="167" fontId="4" fillId="6" borderId="28" xfId="0" applyNumberFormat="1" applyFont="1" applyFill="1" applyBorder="1"/>
    <xf numFmtId="167" fontId="4" fillId="0" borderId="29" xfId="0" applyNumberFormat="1" applyFont="1" applyFill="1" applyBorder="1"/>
    <xf numFmtId="0" fontId="4" fillId="0" borderId="0" xfId="0" applyFont="1" applyBorder="1"/>
    <xf numFmtId="167" fontId="4" fillId="0" borderId="0" xfId="0" applyNumberFormat="1" applyFont="1" applyBorder="1"/>
    <xf numFmtId="0" fontId="3" fillId="7" borderId="17" xfId="0" applyFont="1" applyFill="1" applyBorder="1"/>
    <xf numFmtId="14" fontId="3" fillId="7" borderId="18" xfId="0" applyNumberFormat="1" applyFont="1" applyFill="1" applyBorder="1" applyAlignment="1">
      <alignment horizontal="center"/>
    </xf>
    <xf numFmtId="14" fontId="3" fillId="7" borderId="19" xfId="0" applyNumberFormat="1" applyFont="1" applyFill="1" applyBorder="1" applyAlignment="1">
      <alignment horizontal="center"/>
    </xf>
    <xf numFmtId="166" fontId="4" fillId="6" borderId="21" xfId="3" applyNumberFormat="1" applyFont="1" applyFill="1" applyBorder="1" applyAlignment="1" applyProtection="1"/>
    <xf numFmtId="166" fontId="4" fillId="6" borderId="30" xfId="3" applyNumberFormat="1" applyFont="1" applyFill="1" applyBorder="1" applyAlignment="1" applyProtection="1"/>
    <xf numFmtId="166" fontId="4" fillId="0" borderId="31" xfId="3" applyNumberFormat="1" applyFont="1" applyFill="1" applyBorder="1" applyAlignment="1" applyProtection="1"/>
    <xf numFmtId="166" fontId="4" fillId="6" borderId="24" xfId="3" applyNumberFormat="1" applyFont="1" applyFill="1" applyBorder="1" applyAlignment="1" applyProtection="1"/>
    <xf numFmtId="0" fontId="4" fillId="0" borderId="23" xfId="0" applyFont="1" applyFill="1" applyBorder="1"/>
    <xf numFmtId="168" fontId="4" fillId="0" borderId="24" xfId="3" applyNumberFormat="1" applyFont="1" applyFill="1" applyBorder="1" applyAlignment="1" applyProtection="1"/>
    <xf numFmtId="168" fontId="4" fillId="0" borderId="25" xfId="3" applyNumberFormat="1" applyFont="1" applyFill="1" applyBorder="1" applyAlignment="1" applyProtection="1"/>
    <xf numFmtId="0" fontId="3" fillId="8" borderId="32" xfId="0" applyFont="1" applyFill="1" applyBorder="1"/>
    <xf numFmtId="14" fontId="3" fillId="8" borderId="33" xfId="0" applyNumberFormat="1" applyFont="1" applyFill="1" applyBorder="1" applyAlignment="1">
      <alignment horizontal="center"/>
    </xf>
    <xf numFmtId="14" fontId="3" fillId="8" borderId="34" xfId="0" applyNumberFormat="1" applyFont="1" applyFill="1" applyBorder="1" applyAlignment="1">
      <alignment horizontal="center"/>
    </xf>
    <xf numFmtId="0" fontId="4" fillId="0" borderId="35" xfId="0" applyFont="1" applyBorder="1"/>
    <xf numFmtId="164" fontId="4" fillId="0" borderId="36" xfId="4" applyFont="1" applyFill="1" applyBorder="1" applyAlignment="1" applyProtection="1"/>
    <xf numFmtId="164" fontId="4" fillId="0" borderId="37" xfId="4" applyFont="1" applyFill="1" applyBorder="1" applyAlignment="1" applyProtection="1"/>
    <xf numFmtId="0" fontId="4" fillId="0" borderId="38" xfId="0" applyFont="1" applyBorder="1"/>
    <xf numFmtId="164" fontId="4" fillId="0" borderId="24" xfId="4" applyFont="1" applyFill="1" applyBorder="1" applyAlignment="1" applyProtection="1"/>
    <xf numFmtId="164" fontId="4" fillId="0" borderId="39" xfId="4" applyFont="1" applyFill="1" applyBorder="1" applyAlignment="1" applyProtection="1"/>
    <xf numFmtId="166" fontId="4" fillId="0" borderId="39" xfId="3" applyNumberFormat="1" applyFont="1" applyFill="1" applyBorder="1" applyAlignment="1" applyProtection="1"/>
    <xf numFmtId="4" fontId="4" fillId="0" borderId="24" xfId="0" applyNumberFormat="1" applyFont="1" applyBorder="1"/>
    <xf numFmtId="4" fontId="4" fillId="0" borderId="39" xfId="0" applyNumberFormat="1" applyFont="1" applyBorder="1"/>
    <xf numFmtId="0" fontId="4" fillId="0" borderId="0" xfId="0" applyFont="1" applyBorder="1" applyAlignment="1">
      <alignment horizontal="left"/>
    </xf>
    <xf numFmtId="9" fontId="4" fillId="0" borderId="40" xfId="3" applyFont="1" applyFill="1" applyBorder="1" applyAlignment="1" applyProtection="1"/>
    <xf numFmtId="9" fontId="4" fillId="0" borderId="41" xfId="3" applyFont="1" applyFill="1" applyBorder="1" applyAlignment="1" applyProtection="1"/>
    <xf numFmtId="166" fontId="4" fillId="0" borderId="42" xfId="3" applyNumberFormat="1" applyFont="1" applyFill="1" applyBorder="1" applyAlignment="1" applyProtection="1"/>
    <xf numFmtId="0" fontId="3" fillId="9" borderId="17" xfId="0" applyFont="1" applyFill="1" applyBorder="1"/>
    <xf numFmtId="14" fontId="3" fillId="9" borderId="18" xfId="0" applyNumberFormat="1" applyFont="1" applyFill="1" applyBorder="1" applyAlignment="1">
      <alignment horizontal="center"/>
    </xf>
    <xf numFmtId="14" fontId="3" fillId="9" borderId="19" xfId="0" applyNumberFormat="1" applyFont="1" applyFill="1" applyBorder="1" applyAlignment="1">
      <alignment horizontal="center"/>
    </xf>
    <xf numFmtId="164" fontId="4" fillId="0" borderId="21" xfId="4" applyFont="1" applyFill="1" applyBorder="1" applyAlignment="1" applyProtection="1"/>
    <xf numFmtId="164" fontId="4" fillId="0" borderId="22" xfId="4" applyFont="1" applyFill="1" applyBorder="1" applyAlignment="1" applyProtection="1"/>
    <xf numFmtId="164" fontId="4" fillId="6" borderId="30" xfId="4" applyFont="1" applyFill="1" applyBorder="1" applyAlignment="1" applyProtection="1"/>
    <xf numFmtId="164" fontId="4" fillId="0" borderId="31" xfId="4" applyFont="1" applyFill="1" applyBorder="1" applyAlignment="1" applyProtection="1"/>
    <xf numFmtId="9" fontId="4" fillId="0" borderId="0" xfId="3" applyFont="1" applyFill="1" applyBorder="1" applyAlignment="1" applyProtection="1">
      <alignment horizontal="left"/>
    </xf>
    <xf numFmtId="9" fontId="4" fillId="0" borderId="23" xfId="3" applyFont="1" applyFill="1" applyBorder="1" applyAlignment="1" applyProtection="1"/>
    <xf numFmtId="9" fontId="4" fillId="6" borderId="30" xfId="3" applyFont="1" applyFill="1" applyBorder="1" applyAlignment="1" applyProtection="1"/>
    <xf numFmtId="9" fontId="4" fillId="0" borderId="31" xfId="3" applyFont="1" applyFill="1" applyBorder="1" applyAlignment="1" applyProtection="1"/>
    <xf numFmtId="166" fontId="4" fillId="6" borderId="43" xfId="3" applyNumberFormat="1" applyFont="1" applyFill="1" applyBorder="1" applyAlignment="1" applyProtection="1"/>
    <xf numFmtId="166" fontId="4" fillId="0" borderId="44" xfId="3" applyNumberFormat="1" applyFont="1" applyFill="1" applyBorder="1" applyAlignment="1" applyProtection="1"/>
    <xf numFmtId="3" fontId="4" fillId="6" borderId="30" xfId="3" applyNumberFormat="1" applyFont="1" applyFill="1" applyBorder="1" applyAlignment="1" applyProtection="1"/>
    <xf numFmtId="0" fontId="4" fillId="0" borderId="45" xfId="0" applyFont="1" applyBorder="1"/>
    <xf numFmtId="0" fontId="4" fillId="6" borderId="24" xfId="0" applyFont="1" applyFill="1" applyBorder="1"/>
    <xf numFmtId="166" fontId="4" fillId="0" borderId="25" xfId="0" applyNumberFormat="1" applyFont="1" applyFill="1" applyBorder="1"/>
    <xf numFmtId="0" fontId="4" fillId="6" borderId="28" xfId="0" applyFont="1" applyFill="1" applyBorder="1"/>
    <xf numFmtId="166" fontId="0" fillId="0" borderId="29" xfId="3" applyNumberFormat="1" applyFont="1" applyFill="1" applyBorder="1" applyAlignment="1" applyProtection="1"/>
    <xf numFmtId="0" fontId="4" fillId="0" borderId="0" xfId="0" applyFont="1" applyFill="1"/>
    <xf numFmtId="169" fontId="4" fillId="0" borderId="0" xfId="4" applyNumberFormat="1" applyFont="1" applyFill="1" applyBorder="1" applyAlignment="1" applyProtection="1"/>
    <xf numFmtId="3" fontId="4" fillId="6" borderId="21" xfId="3" applyNumberFormat="1" applyFont="1" applyFill="1" applyBorder="1" applyAlignment="1" applyProtection="1"/>
    <xf numFmtId="166" fontId="4" fillId="6" borderId="24" xfId="0" applyNumberFormat="1" applyFont="1" applyFill="1" applyBorder="1"/>
    <xf numFmtId="0" fontId="3" fillId="10" borderId="46" xfId="0" applyFont="1" applyFill="1" applyBorder="1"/>
    <xf numFmtId="14" fontId="3" fillId="10" borderId="47" xfId="0" applyNumberFormat="1" applyFont="1" applyFill="1" applyBorder="1" applyAlignment="1">
      <alignment horizontal="center"/>
    </xf>
    <xf numFmtId="14" fontId="3" fillId="10" borderId="48" xfId="0" applyNumberFormat="1" applyFont="1" applyFill="1" applyBorder="1" applyAlignment="1">
      <alignment horizontal="center"/>
    </xf>
    <xf numFmtId="0" fontId="4" fillId="0" borderId="49" xfId="0" applyFont="1" applyBorder="1"/>
    <xf numFmtId="166" fontId="4" fillId="6" borderId="50" xfId="3" applyNumberFormat="1" applyFont="1" applyFill="1" applyBorder="1" applyAlignment="1" applyProtection="1"/>
    <xf numFmtId="166" fontId="4" fillId="0" borderId="51" xfId="0" applyNumberFormat="1" applyFont="1" applyBorder="1"/>
    <xf numFmtId="0" fontId="4" fillId="0" borderId="52" xfId="0" applyFont="1" applyBorder="1"/>
    <xf numFmtId="0" fontId="4" fillId="0" borderId="40" xfId="0" applyFont="1" applyBorder="1"/>
    <xf numFmtId="166" fontId="4" fillId="6" borderId="41" xfId="3" applyNumberFormat="1" applyFont="1" applyFill="1" applyBorder="1" applyAlignment="1" applyProtection="1"/>
    <xf numFmtId="0" fontId="3" fillId="5" borderId="32" xfId="0" applyFont="1" applyFill="1" applyBorder="1"/>
    <xf numFmtId="14" fontId="3" fillId="5" borderId="33" xfId="0" applyNumberFormat="1" applyFont="1" applyFill="1" applyBorder="1" applyAlignment="1">
      <alignment horizontal="center"/>
    </xf>
    <xf numFmtId="14" fontId="3" fillId="5" borderId="34" xfId="0" applyNumberFormat="1" applyFont="1" applyFill="1" applyBorder="1" applyAlignment="1">
      <alignment horizontal="center"/>
    </xf>
    <xf numFmtId="0" fontId="4" fillId="11" borderId="0" xfId="0" applyFont="1" applyFill="1" applyAlignment="1">
      <alignment horizontal="left"/>
    </xf>
    <xf numFmtId="0" fontId="4" fillId="11" borderId="0" xfId="0" applyFont="1" applyFill="1"/>
    <xf numFmtId="0" fontId="4" fillId="0" borderId="0" xfId="0" applyFont="1" applyBorder="1" applyAlignment="1">
      <alignment horizontal="center"/>
    </xf>
    <xf numFmtId="169" fontId="4" fillId="6" borderId="24" xfId="4" applyNumberFormat="1" applyFont="1" applyFill="1" applyBorder="1" applyAlignment="1" applyProtection="1"/>
    <xf numFmtId="169" fontId="4" fillId="0" borderId="25" xfId="4" applyNumberFormat="1" applyFont="1" applyFill="1" applyBorder="1" applyAlignment="1" applyProtection="1"/>
    <xf numFmtId="37" fontId="4" fillId="0" borderId="2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7" borderId="17" xfId="0" applyFont="1" applyFill="1" applyBorder="1" applyAlignment="1">
      <alignment horizontal="left"/>
    </xf>
    <xf numFmtId="37" fontId="4" fillId="0" borderId="24" xfId="0" applyNumberFormat="1" applyFont="1" applyFill="1" applyBorder="1"/>
    <xf numFmtId="37" fontId="4" fillId="6" borderId="28" xfId="0" applyNumberFormat="1" applyFont="1" applyFill="1" applyBorder="1"/>
    <xf numFmtId="37" fontId="4" fillId="0" borderId="29" xfId="0" applyNumberFormat="1" applyFont="1" applyFill="1" applyBorder="1"/>
    <xf numFmtId="0" fontId="4" fillId="0" borderId="0" xfId="0" applyFont="1" applyFill="1" applyBorder="1" applyAlignment="1">
      <alignment horizontal="center"/>
    </xf>
    <xf numFmtId="169" fontId="4" fillId="0" borderId="0" xfId="4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9" fontId="4" fillId="0" borderId="30" xfId="4" applyNumberFormat="1" applyFont="1" applyFill="1" applyBorder="1" applyAlignment="1" applyProtection="1">
      <alignment horizontal="right"/>
    </xf>
    <xf numFmtId="169" fontId="4" fillId="0" borderId="24" xfId="4" applyNumberFormat="1" applyFont="1" applyFill="1" applyBorder="1" applyAlignment="1" applyProtection="1">
      <alignment horizontal="right"/>
    </xf>
    <xf numFmtId="169" fontId="4" fillId="0" borderId="25" xfId="4" applyNumberFormat="1" applyFont="1" applyFill="1" applyBorder="1" applyAlignment="1" applyProtection="1">
      <alignment horizontal="right"/>
    </xf>
    <xf numFmtId="39" fontId="4" fillId="0" borderId="0" xfId="0" applyNumberFormat="1" applyFont="1" applyFill="1" applyBorder="1" applyAlignment="1"/>
    <xf numFmtId="169" fontId="4" fillId="0" borderId="22" xfId="4" applyNumberFormat="1" applyFont="1" applyFill="1" applyBorder="1" applyAlignment="1" applyProtection="1">
      <alignment horizontal="right"/>
    </xf>
    <xf numFmtId="170" fontId="4" fillId="0" borderId="29" xfId="4" applyNumberFormat="1" applyFont="1" applyFill="1" applyBorder="1" applyAlignment="1" applyProtection="1">
      <alignment horizontal="right"/>
    </xf>
    <xf numFmtId="169" fontId="4" fillId="0" borderId="0" xfId="4" applyNumberFormat="1" applyFont="1" applyFill="1" applyBorder="1" applyAlignment="1" applyProtection="1">
      <alignment horizontal="right"/>
    </xf>
    <xf numFmtId="170" fontId="4" fillId="0" borderId="0" xfId="4" applyNumberFormat="1" applyFont="1" applyFill="1" applyBorder="1" applyAlignment="1" applyProtection="1">
      <alignment horizontal="right"/>
    </xf>
    <xf numFmtId="169" fontId="4" fillId="6" borderId="36" xfId="4" applyNumberFormat="1" applyFont="1" applyFill="1" applyBorder="1" applyAlignment="1" applyProtection="1">
      <alignment horizontal="right"/>
    </xf>
    <xf numFmtId="169" fontId="4" fillId="0" borderId="37" xfId="4" applyNumberFormat="1" applyFont="1" applyFill="1" applyBorder="1" applyAlignment="1" applyProtection="1">
      <alignment horizontal="right"/>
    </xf>
    <xf numFmtId="169" fontId="4" fillId="6" borderId="24" xfId="4" applyNumberFormat="1" applyFont="1" applyFill="1" applyBorder="1" applyAlignment="1" applyProtection="1">
      <alignment horizontal="right"/>
    </xf>
    <xf numFmtId="169" fontId="4" fillId="0" borderId="39" xfId="4" applyNumberFormat="1" applyFont="1" applyFill="1" applyBorder="1" applyAlignment="1" applyProtection="1">
      <alignment horizontal="right"/>
    </xf>
    <xf numFmtId="170" fontId="4" fillId="6" borderId="24" xfId="4" applyNumberFormat="1" applyFont="1" applyFill="1" applyBorder="1" applyAlignment="1" applyProtection="1">
      <alignment horizontal="right"/>
    </xf>
    <xf numFmtId="170" fontId="4" fillId="0" borderId="39" xfId="4" applyNumberFormat="1" applyFont="1" applyFill="1" applyBorder="1" applyAlignment="1" applyProtection="1">
      <alignment horizontal="right"/>
    </xf>
    <xf numFmtId="0" fontId="4" fillId="0" borderId="40" xfId="0" applyFont="1" applyFill="1" applyBorder="1"/>
    <xf numFmtId="0" fontId="4" fillId="0" borderId="0" xfId="0" applyFont="1" applyFill="1" applyBorder="1"/>
    <xf numFmtId="166" fontId="4" fillId="0" borderId="0" xfId="3" applyNumberFormat="1" applyFont="1" applyFill="1" applyBorder="1" applyAlignment="1" applyProtection="1">
      <alignment horizontal="right"/>
    </xf>
    <xf numFmtId="169" fontId="4" fillId="6" borderId="21" xfId="4" applyNumberFormat="1" applyFont="1" applyFill="1" applyBorder="1" applyAlignment="1" applyProtection="1">
      <alignment horizontal="right"/>
    </xf>
    <xf numFmtId="169" fontId="4" fillId="6" borderId="28" xfId="4" applyNumberFormat="1" applyFont="1" applyFill="1" applyBorder="1" applyAlignment="1" applyProtection="1"/>
    <xf numFmtId="169" fontId="4" fillId="0" borderId="29" xfId="4" applyNumberFormat="1" applyFont="1" applyFill="1" applyBorder="1" applyAlignment="1" applyProtection="1">
      <alignment horizontal="right"/>
    </xf>
    <xf numFmtId="167" fontId="4" fillId="6" borderId="28" xfId="4" applyNumberFormat="1" applyFont="1" applyFill="1" applyBorder="1" applyAlignment="1" applyProtection="1"/>
    <xf numFmtId="0" fontId="21" fillId="0" borderId="3" xfId="0" applyFont="1" applyFill="1" applyBorder="1"/>
    <xf numFmtId="14" fontId="21" fillId="0" borderId="53" xfId="0" applyNumberFormat="1" applyFont="1" applyFill="1" applyBorder="1" applyAlignment="1">
      <alignment horizontal="center"/>
    </xf>
    <xf numFmtId="37" fontId="10" fillId="0" borderId="50" xfId="0" applyNumberFormat="1" applyFont="1" applyBorder="1"/>
    <xf numFmtId="37" fontId="7" fillId="0" borderId="2" xfId="0" applyNumberFormat="1" applyFont="1" applyBorder="1"/>
    <xf numFmtId="37" fontId="10" fillId="0" borderId="2" xfId="0" applyNumberFormat="1" applyFont="1" applyBorder="1"/>
    <xf numFmtId="37" fontId="22" fillId="0" borderId="2" xfId="0" applyNumberFormat="1" applyFont="1" applyBorder="1"/>
    <xf numFmtId="165" fontId="7" fillId="0" borderId="2" xfId="4" applyNumberFormat="1" applyFont="1" applyFill="1" applyBorder="1"/>
    <xf numFmtId="165" fontId="10" fillId="0" borderId="54" xfId="0" applyNumberFormat="1" applyFont="1" applyFill="1" applyBorder="1"/>
    <xf numFmtId="14" fontId="21" fillId="0" borderId="55" xfId="0" applyNumberFormat="1" applyFont="1" applyFill="1" applyBorder="1" applyAlignment="1">
      <alignment horizontal="center"/>
    </xf>
    <xf numFmtId="37" fontId="10" fillId="0" borderId="54" xfId="0" applyNumberFormat="1" applyFont="1" applyBorder="1"/>
    <xf numFmtId="10" fontId="4" fillId="12" borderId="25" xfId="3" applyNumberFormat="1" applyFont="1" applyFill="1" applyBorder="1" applyAlignment="1" applyProtection="1"/>
    <xf numFmtId="10" fontId="4" fillId="12" borderId="25" xfId="3" applyNumberFormat="1" applyFont="1" applyFill="1" applyBorder="1" applyAlignment="1" applyProtection="1">
      <alignment horizontal="center"/>
    </xf>
    <xf numFmtId="0" fontId="3" fillId="5" borderId="56" xfId="0" applyFont="1" applyFill="1" applyBorder="1"/>
    <xf numFmtId="14" fontId="3" fillId="5" borderId="57" xfId="0" applyNumberFormat="1" applyFont="1" applyFill="1" applyBorder="1" applyAlignment="1">
      <alignment horizontal="center"/>
    </xf>
    <xf numFmtId="14" fontId="3" fillId="5" borderId="58" xfId="0" applyNumberFormat="1" applyFont="1" applyFill="1" applyBorder="1" applyAlignment="1">
      <alignment horizontal="center"/>
    </xf>
    <xf numFmtId="0" fontId="4" fillId="0" borderId="59" xfId="0" applyFont="1" applyBorder="1"/>
    <xf numFmtId="166" fontId="4" fillId="0" borderId="60" xfId="3" applyNumberFormat="1" applyFont="1" applyFill="1" applyBorder="1" applyAlignment="1" applyProtection="1"/>
    <xf numFmtId="0" fontId="4" fillId="0" borderId="61" xfId="0" applyFont="1" applyBorder="1"/>
    <xf numFmtId="167" fontId="4" fillId="6" borderId="41" xfId="0" applyNumberFormat="1" applyFont="1" applyFill="1" applyBorder="1"/>
    <xf numFmtId="167" fontId="4" fillId="0" borderId="42" xfId="0" applyNumberFormat="1" applyFont="1" applyFill="1" applyBorder="1"/>
    <xf numFmtId="165" fontId="4" fillId="2" borderId="62" xfId="4" applyNumberFormat="1" applyFont="1" applyFill="1" applyBorder="1" applyAlignment="1" applyProtection="1"/>
    <xf numFmtId="10" fontId="4" fillId="0" borderId="24" xfId="3" applyNumberFormat="1" applyFont="1" applyFill="1" applyBorder="1" applyAlignment="1" applyProtection="1"/>
    <xf numFmtId="10" fontId="4" fillId="0" borderId="28" xfId="3" applyNumberFormat="1" applyFont="1" applyFill="1" applyBorder="1" applyAlignment="1" applyProtection="1"/>
    <xf numFmtId="10" fontId="4" fillId="0" borderId="41" xfId="3" applyNumberFormat="1" applyFont="1" applyFill="1" applyBorder="1" applyAlignment="1" applyProtection="1"/>
    <xf numFmtId="0" fontId="3" fillId="8" borderId="56" xfId="0" applyFont="1" applyFill="1" applyBorder="1" applyAlignment="1">
      <alignment horizontal="left"/>
    </xf>
    <xf numFmtId="14" fontId="3" fillId="8" borderId="57" xfId="0" applyNumberFormat="1" applyFont="1" applyFill="1" applyBorder="1" applyAlignment="1">
      <alignment horizontal="center"/>
    </xf>
    <xf numFmtId="14" fontId="3" fillId="8" borderId="58" xfId="0" applyNumberFormat="1" applyFont="1" applyFill="1" applyBorder="1" applyAlignment="1">
      <alignment horizontal="center"/>
    </xf>
    <xf numFmtId="169" fontId="4" fillId="0" borderId="51" xfId="4" applyNumberFormat="1" applyFont="1" applyFill="1" applyBorder="1" applyAlignment="1" applyProtection="1">
      <alignment horizontal="right"/>
    </xf>
    <xf numFmtId="39" fontId="4" fillId="0" borderId="41" xfId="0" applyNumberFormat="1" applyFont="1" applyFill="1" applyBorder="1" applyAlignment="1"/>
    <xf numFmtId="39" fontId="4" fillId="0" borderId="42" xfId="0" applyNumberFormat="1" applyFont="1" applyFill="1" applyBorder="1" applyAlignment="1"/>
    <xf numFmtId="165" fontId="4" fillId="2" borderId="28" xfId="4" applyNumberFormat="1" applyFont="1" applyFill="1" applyBorder="1" applyAlignment="1" applyProtection="1"/>
    <xf numFmtId="165" fontId="4" fillId="2" borderId="29" xfId="4" applyNumberFormat="1" applyFont="1" applyFill="1" applyBorder="1" applyAlignment="1" applyProtection="1"/>
    <xf numFmtId="166" fontId="4" fillId="0" borderId="63" xfId="0" applyNumberFormat="1" applyFont="1" applyBorder="1"/>
    <xf numFmtId="0" fontId="4" fillId="0" borderId="64" xfId="0" applyFont="1" applyBorder="1"/>
    <xf numFmtId="169" fontId="4" fillId="0" borderId="65" xfId="4" applyNumberFormat="1" applyFont="1" applyFill="1" applyBorder="1" applyAlignment="1" applyProtection="1">
      <alignment horizontal="right"/>
    </xf>
    <xf numFmtId="169" fontId="4" fillId="0" borderId="26" xfId="4" applyNumberFormat="1" applyFont="1" applyFill="1" applyBorder="1" applyAlignment="1" applyProtection="1">
      <alignment horizontal="right"/>
    </xf>
    <xf numFmtId="169" fontId="4" fillId="0" borderId="2" xfId="4" applyNumberFormat="1" applyFont="1" applyFill="1" applyBorder="1" applyAlignment="1" applyProtection="1">
      <alignment horizontal="right"/>
    </xf>
    <xf numFmtId="167" fontId="4" fillId="0" borderId="29" xfId="4" applyNumberFormat="1" applyFont="1" applyFill="1" applyBorder="1" applyAlignment="1" applyProtection="1"/>
    <xf numFmtId="10" fontId="4" fillId="0" borderId="0" xfId="2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9" fontId="4" fillId="13" borderId="2" xfId="4" applyNumberFormat="1" applyFont="1" applyFill="1" applyBorder="1" applyAlignment="1" applyProtection="1"/>
    <xf numFmtId="0" fontId="4" fillId="14" borderId="2" xfId="0" applyFont="1" applyFill="1" applyBorder="1" applyAlignment="1">
      <alignment horizontal="center"/>
    </xf>
    <xf numFmtId="0" fontId="3" fillId="5" borderId="66" xfId="0" applyFont="1" applyFill="1" applyBorder="1"/>
    <xf numFmtId="14" fontId="3" fillId="5" borderId="67" xfId="0" applyNumberFormat="1" applyFont="1" applyFill="1" applyBorder="1" applyAlignment="1">
      <alignment horizontal="center"/>
    </xf>
    <xf numFmtId="14" fontId="3" fillId="5" borderId="68" xfId="0" applyNumberFormat="1" applyFont="1" applyFill="1" applyBorder="1" applyAlignment="1">
      <alignment horizontal="center"/>
    </xf>
    <xf numFmtId="0" fontId="4" fillId="0" borderId="69" xfId="0" applyFont="1" applyBorder="1"/>
    <xf numFmtId="37" fontId="4" fillId="0" borderId="70" xfId="0" applyNumberFormat="1" applyFont="1" applyFill="1" applyBorder="1"/>
    <xf numFmtId="10" fontId="4" fillId="0" borderId="70" xfId="2" applyNumberFormat="1" applyFont="1" applyBorder="1" applyAlignment="1">
      <alignment horizontal="right"/>
    </xf>
    <xf numFmtId="0" fontId="14" fillId="0" borderId="69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4" fillId="14" borderId="54" xfId="0" applyFont="1" applyFill="1" applyBorder="1" applyAlignment="1">
      <alignment horizontal="center"/>
    </xf>
    <xf numFmtId="10" fontId="4" fillId="0" borderId="71" xfId="2" applyNumberFormat="1" applyFont="1" applyBorder="1" applyAlignment="1">
      <alignment horizontal="right"/>
    </xf>
    <xf numFmtId="3" fontId="0" fillId="0" borderId="0" xfId="0" applyNumberFormat="1"/>
    <xf numFmtId="37" fontId="0" fillId="0" borderId="0" xfId="0" applyNumberFormat="1"/>
    <xf numFmtId="0" fontId="0" fillId="0" borderId="0" xfId="0" applyFill="1"/>
    <xf numFmtId="0" fontId="10" fillId="0" borderId="49" xfId="0" applyFont="1" applyFill="1" applyBorder="1"/>
    <xf numFmtId="0" fontId="7" fillId="0" borderId="69" xfId="0" applyFont="1" applyFill="1" applyBorder="1"/>
    <xf numFmtId="0" fontId="10" fillId="0" borderId="69" xfId="0" applyFont="1" applyFill="1" applyBorder="1"/>
    <xf numFmtId="0" fontId="22" fillId="0" borderId="69" xfId="0" applyFont="1" applyFill="1" applyBorder="1"/>
    <xf numFmtId="0" fontId="10" fillId="0" borderId="9" xfId="0" applyFont="1" applyFill="1" applyBorder="1"/>
    <xf numFmtId="0" fontId="12" fillId="0" borderId="2" xfId="0" applyFont="1" applyFill="1" applyBorder="1"/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/>
    </xf>
    <xf numFmtId="0" fontId="2" fillId="0" borderId="73" xfId="0" applyFont="1" applyBorder="1" applyAlignment="1">
      <alignment horizontal="right" vertical="center" wrapText="1"/>
    </xf>
    <xf numFmtId="3" fontId="2" fillId="0" borderId="73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6" fontId="4" fillId="4" borderId="25" xfId="3" applyNumberFormat="1" applyFont="1" applyFill="1" applyBorder="1" applyAlignment="1" applyProtection="1"/>
    <xf numFmtId="0" fontId="1" fillId="2" borderId="74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0" fontId="4" fillId="0" borderId="26" xfId="3" applyNumberFormat="1" applyFont="1" applyFill="1" applyBorder="1" applyAlignment="1" applyProtection="1"/>
    <xf numFmtId="10" fontId="4" fillId="0" borderId="39" xfId="3" applyNumberFormat="1" applyFont="1" applyFill="1" applyBorder="1" applyAlignment="1" applyProtection="1"/>
    <xf numFmtId="10" fontId="4" fillId="0" borderId="62" xfId="3" applyNumberFormat="1" applyFont="1" applyFill="1" applyBorder="1" applyAlignment="1" applyProtection="1"/>
    <xf numFmtId="0" fontId="4" fillId="0" borderId="69" xfId="0" applyFont="1" applyFill="1" applyBorder="1"/>
    <xf numFmtId="10" fontId="0" fillId="0" borderId="70" xfId="0" applyNumberFormat="1" applyBorder="1"/>
    <xf numFmtId="164" fontId="0" fillId="0" borderId="70" xfId="4" applyFont="1" applyBorder="1"/>
    <xf numFmtId="0" fontId="4" fillId="0" borderId="9" xfId="0" applyFont="1" applyFill="1" applyBorder="1"/>
    <xf numFmtId="0" fontId="0" fillId="0" borderId="54" xfId="0" applyBorder="1"/>
    <xf numFmtId="164" fontId="0" fillId="0" borderId="71" xfId="4" applyFont="1" applyBorder="1"/>
    <xf numFmtId="0" fontId="3" fillId="15" borderId="66" xfId="0" applyFont="1" applyFill="1" applyBorder="1"/>
    <xf numFmtId="14" fontId="3" fillId="15" borderId="67" xfId="0" applyNumberFormat="1" applyFont="1" applyFill="1" applyBorder="1" applyAlignment="1">
      <alignment horizontal="center"/>
    </xf>
    <xf numFmtId="14" fontId="3" fillId="15" borderId="68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Border="1"/>
    <xf numFmtId="164" fontId="0" fillId="0" borderId="0" xfId="4" applyFont="1" applyBorder="1"/>
    <xf numFmtId="0" fontId="3" fillId="9" borderId="56" xfId="0" applyFont="1" applyFill="1" applyBorder="1"/>
    <xf numFmtId="0" fontId="4" fillId="0" borderId="75" xfId="0" applyFont="1" applyBorder="1"/>
    <xf numFmtId="14" fontId="3" fillId="9" borderId="67" xfId="0" applyNumberFormat="1" applyFont="1" applyFill="1" applyBorder="1" applyAlignment="1">
      <alignment horizontal="center"/>
    </xf>
    <xf numFmtId="14" fontId="3" fillId="9" borderId="68" xfId="0" applyNumberFormat="1" applyFont="1" applyFill="1" applyBorder="1" applyAlignment="1">
      <alignment horizontal="center"/>
    </xf>
    <xf numFmtId="169" fontId="4" fillId="6" borderId="2" xfId="4" applyNumberFormat="1" applyFont="1" applyFill="1" applyBorder="1" applyAlignment="1" applyProtection="1">
      <alignment horizontal="right"/>
    </xf>
    <xf numFmtId="169" fontId="4" fillId="0" borderId="70" xfId="4" applyNumberFormat="1" applyFont="1" applyFill="1" applyBorder="1" applyAlignment="1" applyProtection="1">
      <alignment horizontal="right"/>
    </xf>
    <xf numFmtId="10" fontId="4" fillId="0" borderId="70" xfId="2" applyNumberFormat="1" applyFont="1" applyFill="1" applyBorder="1" applyAlignment="1" applyProtection="1">
      <alignment horizontal="right"/>
    </xf>
    <xf numFmtId="169" fontId="4" fillId="6" borderId="54" xfId="4" applyNumberFormat="1" applyFont="1" applyFill="1" applyBorder="1" applyAlignment="1" applyProtection="1">
      <alignment horizontal="right"/>
    </xf>
    <xf numFmtId="0" fontId="4" fillId="0" borderId="76" xfId="0" applyFont="1" applyBorder="1"/>
    <xf numFmtId="169" fontId="4" fillId="6" borderId="77" xfId="4" applyNumberFormat="1" applyFont="1" applyFill="1" applyBorder="1" applyAlignment="1" applyProtection="1">
      <alignment horizontal="right"/>
    </xf>
    <xf numFmtId="10" fontId="4" fillId="0" borderId="78" xfId="2" applyNumberFormat="1" applyFont="1" applyFill="1" applyBorder="1" applyAlignment="1" applyProtection="1">
      <alignment horizontal="right"/>
    </xf>
    <xf numFmtId="0" fontId="4" fillId="0" borderId="9" xfId="0" applyFont="1" applyBorder="1"/>
    <xf numFmtId="169" fontId="4" fillId="0" borderId="71" xfId="4" applyNumberFormat="1" applyFont="1" applyFill="1" applyBorder="1" applyAlignment="1" applyProtection="1">
      <alignment horizontal="right"/>
    </xf>
    <xf numFmtId="10" fontId="4" fillId="0" borderId="2" xfId="3" applyNumberFormat="1" applyFont="1" applyFill="1" applyBorder="1" applyAlignment="1" applyProtection="1"/>
    <xf numFmtId="10" fontId="4" fillId="0" borderId="70" xfId="3" applyNumberFormat="1" applyFont="1" applyFill="1" applyBorder="1" applyAlignment="1" applyProtection="1"/>
    <xf numFmtId="10" fontId="0" fillId="0" borderId="70" xfId="2" applyNumberFormat="1" applyFont="1" applyBorder="1"/>
    <xf numFmtId="10" fontId="0" fillId="0" borderId="70" xfId="4" applyNumberFormat="1" applyFont="1" applyBorder="1"/>
    <xf numFmtId="0" fontId="3" fillId="16" borderId="66" xfId="0" applyFont="1" applyFill="1" applyBorder="1"/>
    <xf numFmtId="14" fontId="3" fillId="16" borderId="67" xfId="0" applyNumberFormat="1" applyFont="1" applyFill="1" applyBorder="1" applyAlignment="1">
      <alignment horizontal="center"/>
    </xf>
    <xf numFmtId="14" fontId="24" fillId="16" borderId="68" xfId="0" applyNumberFormat="1" applyFont="1" applyFill="1" applyBorder="1" applyAlignment="1">
      <alignment horizontal="center"/>
    </xf>
    <xf numFmtId="0" fontId="25" fillId="0" borderId="0" xfId="0" applyFont="1"/>
    <xf numFmtId="0" fontId="4" fillId="0" borderId="79" xfId="0" applyFont="1" applyBorder="1"/>
    <xf numFmtId="0" fontId="0" fillId="0" borderId="77" xfId="0" applyBorder="1"/>
    <xf numFmtId="164" fontId="0" fillId="0" borderId="78" xfId="4" applyFont="1" applyBorder="1"/>
    <xf numFmtId="17" fontId="0" fillId="0" borderId="0" xfId="0" applyNumberFormat="1"/>
    <xf numFmtId="0" fontId="25" fillId="0" borderId="0" xfId="0" applyFont="1" applyAlignment="1">
      <alignment horizontal="right"/>
    </xf>
    <xf numFmtId="164" fontId="25" fillId="0" borderId="0" xfId="4" applyFont="1" applyAlignment="1">
      <alignment horizontal="center"/>
    </xf>
    <xf numFmtId="9" fontId="4" fillId="0" borderId="0" xfId="3" applyFont="1" applyFill="1" applyBorder="1" applyAlignment="1" applyProtection="1"/>
    <xf numFmtId="0" fontId="28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4" fontId="30" fillId="0" borderId="0" xfId="0" applyNumberFormat="1" applyFont="1"/>
    <xf numFmtId="4" fontId="27" fillId="0" borderId="0" xfId="0" applyNumberFormat="1" applyFont="1" applyFill="1" applyBorder="1" applyAlignment="1">
      <alignment horizontal="right"/>
    </xf>
    <xf numFmtId="164" fontId="1" fillId="2" borderId="80" xfId="4" quotePrefix="1" applyFont="1" applyFill="1" applyBorder="1" applyAlignment="1">
      <alignment horizontal="right" wrapText="1"/>
    </xf>
    <xf numFmtId="164" fontId="0" fillId="0" borderId="0" xfId="4" applyNumberFormat="1" applyFont="1"/>
    <xf numFmtId="164" fontId="25" fillId="0" borderId="0" xfId="0" applyNumberFormat="1" applyFont="1"/>
    <xf numFmtId="1" fontId="0" fillId="0" borderId="71" xfId="0" applyNumberFormat="1" applyBorder="1"/>
    <xf numFmtId="0" fontId="0" fillId="0" borderId="0" xfId="0" applyFont="1"/>
    <xf numFmtId="0" fontId="11" fillId="0" borderId="0" xfId="0" applyFont="1"/>
    <xf numFmtId="164" fontId="11" fillId="0" borderId="0" xfId="0" applyNumberFormat="1" applyFont="1"/>
    <xf numFmtId="10" fontId="0" fillId="0" borderId="0" xfId="0" applyNumberFormat="1"/>
    <xf numFmtId="0" fontId="4" fillId="0" borderId="35" xfId="0" applyFont="1" applyFill="1" applyBorder="1"/>
    <xf numFmtId="166" fontId="4" fillId="0" borderId="36" xfId="3" applyNumberFormat="1" applyFont="1" applyFill="1" applyBorder="1" applyAlignment="1" applyProtection="1"/>
    <xf numFmtId="166" fontId="4" fillId="0" borderId="37" xfId="3" applyNumberFormat="1" applyFont="1" applyFill="1" applyBorder="1" applyAlignment="1" applyProtection="1"/>
    <xf numFmtId="0" fontId="4" fillId="0" borderId="2" xfId="0" applyFont="1" applyFill="1" applyBorder="1"/>
    <xf numFmtId="44" fontId="4" fillId="0" borderId="70" xfId="5" applyFont="1" applyFill="1" applyBorder="1"/>
    <xf numFmtId="0" fontId="4" fillId="0" borderId="79" xfId="0" applyFont="1" applyFill="1" applyBorder="1"/>
    <xf numFmtId="0" fontId="4" fillId="0" borderId="77" xfId="0" applyFont="1" applyFill="1" applyBorder="1"/>
    <xf numFmtId="0" fontId="4" fillId="0" borderId="78" xfId="0" applyNumberFormat="1" applyFont="1" applyFill="1" applyBorder="1"/>
    <xf numFmtId="0" fontId="4" fillId="0" borderId="54" xfId="0" applyFont="1" applyFill="1" applyBorder="1"/>
    <xf numFmtId="0" fontId="0" fillId="0" borderId="71" xfId="3" applyNumberFormat="1" applyFont="1" applyFill="1" applyBorder="1" applyAlignment="1" applyProtection="1"/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5" fontId="18" fillId="0" borderId="15" xfId="1" applyNumberFormat="1" applyFont="1" applyFill="1" applyBorder="1" applyAlignment="1">
      <alignment horizontal="center"/>
    </xf>
    <xf numFmtId="0" fontId="17" fillId="0" borderId="81" xfId="1" applyFont="1" applyFill="1" applyBorder="1" applyAlignment="1">
      <alignment horizontal="center"/>
    </xf>
    <xf numFmtId="0" fontId="17" fillId="0" borderId="82" xfId="1" applyFont="1" applyFill="1" applyBorder="1" applyAlignment="1">
      <alignment horizontal="center"/>
    </xf>
    <xf numFmtId="0" fontId="17" fillId="0" borderId="83" xfId="1" applyFont="1" applyFill="1" applyBorder="1" applyAlignment="1">
      <alignment horizontal="center"/>
    </xf>
    <xf numFmtId="14" fontId="17" fillId="17" borderId="81" xfId="1" applyNumberFormat="1" applyFont="1" applyFill="1" applyBorder="1" applyAlignment="1">
      <alignment horizontal="center"/>
    </xf>
    <xf numFmtId="0" fontId="17" fillId="17" borderId="82" xfId="1" applyFont="1" applyFill="1" applyBorder="1" applyAlignment="1">
      <alignment horizontal="center"/>
    </xf>
    <xf numFmtId="0" fontId="17" fillId="17" borderId="83" xfId="1" applyFont="1" applyFill="1" applyBorder="1" applyAlignment="1">
      <alignment horizontal="center"/>
    </xf>
  </cellXfs>
  <cellStyles count="6">
    <cellStyle name="Moeda" xfId="5" builtinId="4"/>
    <cellStyle name="Normal" xfId="0" builtinId="0"/>
    <cellStyle name="Normal 2" xfId="1" xr:uid="{00000000-0005-0000-0000-000001000000}"/>
    <cellStyle name="Porcentagem" xfId="2" builtinId="5"/>
    <cellStyle name="Porcentagem 2" xfId="3" xr:uid="{00000000-0005-0000-0000-000003000000}"/>
    <cellStyle name="Vírgula" xfId="4" builtinId="3"/>
  </cellStyles>
  <dxfs count="2">
    <dxf>
      <font>
        <b/>
        <i val="0"/>
        <condense val="0"/>
        <extend val="0"/>
        <color indexed="16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FC-4C0D-A8B0-E4E4E516008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0.57959703528556095</c:v>
              </c:pt>
            </c:numLit>
          </c:val>
          <c:extLst>
            <c:ext xmlns:c16="http://schemas.microsoft.com/office/drawing/2014/chart" uri="{C3380CC4-5D6E-409C-BE32-E72D297353CC}">
              <c16:uniqueId val="{00000002-7CFC-4C0D-A8B0-E4E4E516008B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0.1410432395920086</c:v>
              </c:pt>
            </c:numLit>
          </c:val>
          <c:extLst>
            <c:ext xmlns:c16="http://schemas.microsoft.com/office/drawing/2014/chart" uri="{C3380CC4-5D6E-409C-BE32-E72D297353CC}">
              <c16:uniqueId val="{00000003-7CFC-4C0D-A8B0-E4E4E516008B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0.27935972512243057</c:v>
              </c:pt>
            </c:numLit>
          </c:val>
          <c:extLst>
            <c:ext xmlns:c16="http://schemas.microsoft.com/office/drawing/2014/chart" uri="{C3380CC4-5D6E-409C-BE32-E72D297353CC}">
              <c16:uniqueId val="{00000004-7CFC-4C0D-A8B0-E4E4E516008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5690392"/>
        <c:axId val="325689216"/>
        <c:axId val="0"/>
      </c:bar3DChart>
      <c:catAx>
        <c:axId val="325690392"/>
        <c:scaling>
          <c:orientation val="minMax"/>
        </c:scaling>
        <c:delete val="1"/>
        <c:axPos val="b"/>
        <c:majorTickMark val="out"/>
        <c:minorTickMark val="none"/>
        <c:tickLblPos val="none"/>
        <c:crossAx val="325689216"/>
        <c:crosses val="autoZero"/>
        <c:auto val="1"/>
        <c:lblAlgn val="ctr"/>
        <c:lblOffset val="100"/>
        <c:noMultiLvlLbl val="0"/>
      </c:catAx>
      <c:valAx>
        <c:axId val="3256892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5690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2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D7-414B-9345-254E9DED63B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>
            <c:ext xmlns:c16="http://schemas.microsoft.com/office/drawing/2014/chart" uri="{C3380CC4-5D6E-409C-BE32-E72D297353CC}">
              <c16:uniqueId val="{00000002-74D7-414B-9345-254E9DED63B1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>
            <c:ext xmlns:c16="http://schemas.microsoft.com/office/drawing/2014/chart" uri="{C3380CC4-5D6E-409C-BE32-E72D297353CC}">
              <c16:uniqueId val="{00000003-74D7-414B-9345-254E9DED63B1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4-74D7-414B-9345-254E9DED63B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206432"/>
        <c:axId val="327211136"/>
        <c:axId val="0"/>
      </c:bar3DChart>
      <c:catAx>
        <c:axId val="327206432"/>
        <c:scaling>
          <c:orientation val="minMax"/>
        </c:scaling>
        <c:delete val="1"/>
        <c:axPos val="b"/>
        <c:majorTickMark val="out"/>
        <c:minorTickMark val="none"/>
        <c:tickLblPos val="none"/>
        <c:crossAx val="327211136"/>
        <c:crosses val="autoZero"/>
        <c:auto val="1"/>
        <c:lblAlgn val="ctr"/>
        <c:lblOffset val="100"/>
        <c:noMultiLvlLbl val="0"/>
      </c:catAx>
      <c:valAx>
        <c:axId val="3272111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06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D6-4013-9BEC-41A95708D4E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>
            <c:ext xmlns:c16="http://schemas.microsoft.com/office/drawing/2014/chart" uri="{C3380CC4-5D6E-409C-BE32-E72D297353CC}">
              <c16:uniqueId val="{00000002-C6D6-4013-9BEC-41A95708D4E6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C6D6-4013-9BEC-41A95708D4E6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>
            <c:ext xmlns:c16="http://schemas.microsoft.com/office/drawing/2014/chart" uri="{C3380CC4-5D6E-409C-BE32-E72D297353CC}">
              <c16:uniqueId val="{00000004-C6D6-4013-9BEC-41A95708D4E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396384"/>
        <c:axId val="327403832"/>
        <c:axId val="0"/>
      </c:bar3DChart>
      <c:catAx>
        <c:axId val="327396384"/>
        <c:scaling>
          <c:orientation val="minMax"/>
        </c:scaling>
        <c:delete val="1"/>
        <c:axPos val="b"/>
        <c:majorTickMark val="out"/>
        <c:minorTickMark val="none"/>
        <c:tickLblPos val="none"/>
        <c:crossAx val="327403832"/>
        <c:crosses val="autoZero"/>
        <c:auto val="1"/>
        <c:lblAlgn val="ctr"/>
        <c:lblOffset val="100"/>
        <c:noMultiLvlLbl val="0"/>
      </c:catAx>
      <c:valAx>
        <c:axId val="327403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39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2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6B-49EC-B59A-2A3C528DDF3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>
            <c:ext xmlns:c16="http://schemas.microsoft.com/office/drawing/2014/chart" uri="{C3380CC4-5D6E-409C-BE32-E72D297353CC}">
              <c16:uniqueId val="{00000002-9E6B-49EC-B59A-2A3C528DDF37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>
            <c:ext xmlns:c16="http://schemas.microsoft.com/office/drawing/2014/chart" uri="{C3380CC4-5D6E-409C-BE32-E72D297353CC}">
              <c16:uniqueId val="{00000003-9E6B-49EC-B59A-2A3C528DDF37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9E6B-49EC-B59A-2A3C528DDF3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396776"/>
        <c:axId val="327400304"/>
        <c:axId val="0"/>
      </c:bar3DChart>
      <c:catAx>
        <c:axId val="327396776"/>
        <c:scaling>
          <c:orientation val="minMax"/>
        </c:scaling>
        <c:delete val="1"/>
        <c:axPos val="b"/>
        <c:majorTickMark val="out"/>
        <c:minorTickMark val="none"/>
        <c:tickLblPos val="none"/>
        <c:crossAx val="327400304"/>
        <c:crosses val="autoZero"/>
        <c:auto val="1"/>
        <c:lblAlgn val="ctr"/>
        <c:lblOffset val="100"/>
        <c:noMultiLvlLbl val="0"/>
      </c:catAx>
      <c:valAx>
        <c:axId val="3274003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396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29-4C13-9EE4-ECAE45E71D3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0.35085452632047087</c:v>
              </c:pt>
            </c:numLit>
          </c:val>
          <c:extLst>
            <c:ext xmlns:c16="http://schemas.microsoft.com/office/drawing/2014/chart" uri="{C3380CC4-5D6E-409C-BE32-E72D297353CC}">
              <c16:uniqueId val="{00000002-A529-4C13-9EE4-ECAE45E71D34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A529-4C13-9EE4-ECAE45E71D34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A529-4C13-9EE4-ECAE45E71D3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403048"/>
        <c:axId val="327398736"/>
        <c:axId val="0"/>
      </c:bar3DChart>
      <c:catAx>
        <c:axId val="327403048"/>
        <c:scaling>
          <c:orientation val="minMax"/>
        </c:scaling>
        <c:delete val="1"/>
        <c:axPos val="b"/>
        <c:majorTickMark val="out"/>
        <c:minorTickMark val="none"/>
        <c:tickLblPos val="none"/>
        <c:crossAx val="327398736"/>
        <c:crosses val="autoZero"/>
        <c:auto val="1"/>
        <c:lblAlgn val="ctr"/>
        <c:lblOffset val="100"/>
        <c:noMultiLvlLbl val="0"/>
      </c:catAx>
      <c:valAx>
        <c:axId val="3273987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403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2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18-47C7-AA6A-07A9F1223B7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>
            <c:ext xmlns:c16="http://schemas.microsoft.com/office/drawing/2014/chart" uri="{C3380CC4-5D6E-409C-BE32-E72D297353CC}">
              <c16:uniqueId val="{00000002-0D18-47C7-AA6A-07A9F1223B72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0D18-47C7-AA6A-07A9F1223B72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0D18-47C7-AA6A-07A9F1223B7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399128"/>
        <c:axId val="327397952"/>
        <c:axId val="0"/>
      </c:bar3DChart>
      <c:catAx>
        <c:axId val="327399128"/>
        <c:scaling>
          <c:orientation val="minMax"/>
        </c:scaling>
        <c:delete val="1"/>
        <c:axPos val="b"/>
        <c:majorTickMark val="out"/>
        <c:minorTickMark val="none"/>
        <c:tickLblPos val="none"/>
        <c:crossAx val="327397952"/>
        <c:crosses val="autoZero"/>
        <c:auto val="1"/>
        <c:lblAlgn val="ctr"/>
        <c:lblOffset val="100"/>
        <c:noMultiLvlLbl val="0"/>
      </c:catAx>
      <c:valAx>
        <c:axId val="3273979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399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DA-4875-A269-63A7377AC50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>
            <c:ext xmlns:c16="http://schemas.microsoft.com/office/drawing/2014/chart" uri="{C3380CC4-5D6E-409C-BE32-E72D297353CC}">
              <c16:uniqueId val="{00000002-AADA-4875-A269-63A7377AC50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AADA-4875-A269-63A7377AC50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AADA-4875-A269-63A7377AC50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397560"/>
        <c:axId val="327400696"/>
        <c:axId val="0"/>
      </c:bar3DChart>
      <c:catAx>
        <c:axId val="327397560"/>
        <c:scaling>
          <c:orientation val="minMax"/>
        </c:scaling>
        <c:delete val="1"/>
        <c:axPos val="b"/>
        <c:majorTickMark val="out"/>
        <c:minorTickMark val="none"/>
        <c:tickLblPos val="none"/>
        <c:crossAx val="327400696"/>
        <c:crosses val="autoZero"/>
        <c:auto val="1"/>
        <c:lblAlgn val="ctr"/>
        <c:lblOffset val="100"/>
        <c:noMultiLvlLbl val="0"/>
      </c:catAx>
      <c:valAx>
        <c:axId val="3274006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397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2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4F-4386-B424-7D0A65BCB15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>
            <c:ext xmlns:c16="http://schemas.microsoft.com/office/drawing/2014/chart" uri="{C3380CC4-5D6E-409C-BE32-E72D297353CC}">
              <c16:uniqueId val="{00000002-5E4F-4386-B424-7D0A65BCB152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5E4F-4386-B424-7D0A65BCB152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5E4F-4386-B424-7D0A65BCB15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401872"/>
        <c:axId val="327402656"/>
        <c:axId val="0"/>
      </c:bar3DChart>
      <c:catAx>
        <c:axId val="327401872"/>
        <c:scaling>
          <c:orientation val="minMax"/>
        </c:scaling>
        <c:delete val="1"/>
        <c:axPos val="b"/>
        <c:majorTickMark val="out"/>
        <c:minorTickMark val="none"/>
        <c:tickLblPos val="none"/>
        <c:crossAx val="327402656"/>
        <c:crosses val="autoZero"/>
        <c:auto val="1"/>
        <c:lblAlgn val="ctr"/>
        <c:lblOffset val="100"/>
        <c:noMultiLvlLbl val="0"/>
      </c:catAx>
      <c:valAx>
        <c:axId val="3274026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401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84-4913-8286-F3F1EB22569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0.44231595367792098</c:v>
              </c:pt>
            </c:numLit>
          </c:val>
          <c:extLst>
            <c:ext xmlns:c16="http://schemas.microsoft.com/office/drawing/2014/chart" uri="{C3380CC4-5D6E-409C-BE32-E72D297353CC}">
              <c16:uniqueId val="{00000002-8984-4913-8286-F3F1EB225697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0.32673247711293463</c:v>
              </c:pt>
            </c:numLit>
          </c:val>
          <c:extLst>
            <c:ext xmlns:c16="http://schemas.microsoft.com/office/drawing/2014/chart" uri="{C3380CC4-5D6E-409C-BE32-E72D297353CC}">
              <c16:uniqueId val="{00000003-8984-4913-8286-F3F1EB225697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0.23095156920914087</c:v>
              </c:pt>
            </c:numLit>
          </c:val>
          <c:extLst>
            <c:ext xmlns:c16="http://schemas.microsoft.com/office/drawing/2014/chart" uri="{C3380CC4-5D6E-409C-BE32-E72D297353CC}">
              <c16:uniqueId val="{00000004-8984-4913-8286-F3F1EB22569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398344"/>
        <c:axId val="327207216"/>
        <c:axId val="0"/>
      </c:bar3DChart>
      <c:catAx>
        <c:axId val="327398344"/>
        <c:scaling>
          <c:orientation val="minMax"/>
        </c:scaling>
        <c:delete val="1"/>
        <c:axPos val="b"/>
        <c:majorTickMark val="out"/>
        <c:minorTickMark val="none"/>
        <c:tickLblPos val="none"/>
        <c:crossAx val="327207216"/>
        <c:crosses val="autoZero"/>
        <c:auto val="1"/>
        <c:lblAlgn val="ctr"/>
        <c:lblOffset val="100"/>
        <c:noMultiLvlLbl val="0"/>
      </c:catAx>
      <c:valAx>
        <c:axId val="3272072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398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2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67-4314-A0D5-6E186A38FBE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0.54089772309290951</c:v>
              </c:pt>
            </c:numLit>
          </c:val>
          <c:extLst>
            <c:ext xmlns:c16="http://schemas.microsoft.com/office/drawing/2014/chart" uri="{C3380CC4-5D6E-409C-BE32-E72D297353CC}">
              <c16:uniqueId val="{00000002-5867-4314-A0D5-6E186A38FBE4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0.11029160469195916</c:v>
              </c:pt>
            </c:numLit>
          </c:val>
          <c:extLst>
            <c:ext xmlns:c16="http://schemas.microsoft.com/office/drawing/2014/chart" uri="{C3380CC4-5D6E-409C-BE32-E72D297353CC}">
              <c16:uniqueId val="{00000003-5867-4314-A0D5-6E186A38FBE4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0.34881067221512962</c:v>
              </c:pt>
            </c:numLit>
          </c:val>
          <c:extLst>
            <c:ext xmlns:c16="http://schemas.microsoft.com/office/drawing/2014/chart" uri="{C3380CC4-5D6E-409C-BE32-E72D297353CC}">
              <c16:uniqueId val="{00000004-5867-4314-A0D5-6E186A38FBE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208000"/>
        <c:axId val="327208392"/>
        <c:axId val="0"/>
      </c:bar3DChart>
      <c:catAx>
        <c:axId val="327208000"/>
        <c:scaling>
          <c:orientation val="minMax"/>
        </c:scaling>
        <c:delete val="1"/>
        <c:axPos val="b"/>
        <c:majorTickMark val="out"/>
        <c:minorTickMark val="none"/>
        <c:tickLblPos val="none"/>
        <c:crossAx val="327208392"/>
        <c:crosses val="autoZero"/>
        <c:auto val="1"/>
        <c:lblAlgn val="ctr"/>
        <c:lblOffset val="100"/>
        <c:noMultiLvlLbl val="0"/>
      </c:catAx>
      <c:valAx>
        <c:axId val="3272083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08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C8-47A4-8CB7-67D3E711E0E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4CC8-47A4-8CB7-67D3E711E0E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>
            <c:ext xmlns:c16="http://schemas.microsoft.com/office/drawing/2014/chart" uri="{C3380CC4-5D6E-409C-BE32-E72D297353CC}">
              <c16:uniqueId val="{00000003-4CC8-47A4-8CB7-67D3E711E0E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>
            <c:ext xmlns:c16="http://schemas.microsoft.com/office/drawing/2014/chart" uri="{C3380CC4-5D6E-409C-BE32-E72D297353CC}">
              <c16:uniqueId val="{00000004-4CC8-47A4-8CB7-67D3E711E0E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4336200"/>
        <c:axId val="344331888"/>
        <c:axId val="0"/>
      </c:bar3DChart>
      <c:catAx>
        <c:axId val="344336200"/>
        <c:scaling>
          <c:orientation val="minMax"/>
        </c:scaling>
        <c:delete val="1"/>
        <c:axPos val="b"/>
        <c:majorTickMark val="out"/>
        <c:minorTickMark val="none"/>
        <c:tickLblPos val="none"/>
        <c:crossAx val="344331888"/>
        <c:crosses val="autoZero"/>
        <c:auto val="1"/>
        <c:lblAlgn val="ctr"/>
        <c:lblOffset val="100"/>
        <c:noMultiLvlLbl val="0"/>
      </c:catAx>
      <c:valAx>
        <c:axId val="3443318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4336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2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42-4682-AD10-7AFE137F92B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0.42282625812686375</c:v>
              </c:pt>
            </c:numLit>
          </c:val>
          <c:extLst>
            <c:ext xmlns:c16="http://schemas.microsoft.com/office/drawing/2014/chart" uri="{C3380CC4-5D6E-409C-BE32-E72D297353CC}">
              <c16:uniqueId val="{00000002-EE42-4682-AD10-7AFE137F92B1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0.38986503030813502</c:v>
              </c:pt>
            </c:numLit>
          </c:val>
          <c:extLst>
            <c:ext xmlns:c16="http://schemas.microsoft.com/office/drawing/2014/chart" uri="{C3380CC4-5D6E-409C-BE32-E72D297353CC}">
              <c16:uniqueId val="{00000003-EE42-4682-AD10-7AFE137F92B1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0.18730871156500231</c:v>
              </c:pt>
            </c:numLit>
          </c:val>
          <c:extLst>
            <c:ext xmlns:c16="http://schemas.microsoft.com/office/drawing/2014/chart" uri="{C3380CC4-5D6E-409C-BE32-E72D297353CC}">
              <c16:uniqueId val="{00000004-EE42-4682-AD10-7AFE137F92B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5692744"/>
        <c:axId val="325693528"/>
        <c:axId val="0"/>
      </c:bar3DChart>
      <c:catAx>
        <c:axId val="325692744"/>
        <c:scaling>
          <c:orientation val="minMax"/>
        </c:scaling>
        <c:delete val="1"/>
        <c:axPos val="b"/>
        <c:majorTickMark val="out"/>
        <c:minorTickMark val="none"/>
        <c:tickLblPos val="none"/>
        <c:crossAx val="325693528"/>
        <c:crosses val="autoZero"/>
        <c:auto val="1"/>
        <c:lblAlgn val="ctr"/>
        <c:lblOffset val="100"/>
        <c:noMultiLvlLbl val="0"/>
      </c:catAx>
      <c:valAx>
        <c:axId val="3256935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5692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2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3B-4F7A-9A4B-743EC1DEA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5B3B-4F7A-9A4B-743EC1DEAD4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5B3B-4F7A-9A4B-743EC1DEAD4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>
            <c:ext xmlns:c16="http://schemas.microsoft.com/office/drawing/2014/chart" uri="{C3380CC4-5D6E-409C-BE32-E72D297353CC}">
              <c16:uniqueId val="{00000004-5B3B-4F7A-9A4B-743EC1DEAD4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4332280"/>
        <c:axId val="344336592"/>
        <c:axId val="0"/>
      </c:bar3DChart>
      <c:catAx>
        <c:axId val="344332280"/>
        <c:scaling>
          <c:orientation val="minMax"/>
        </c:scaling>
        <c:delete val="1"/>
        <c:axPos val="b"/>
        <c:majorTickMark val="out"/>
        <c:minorTickMark val="none"/>
        <c:tickLblPos val="none"/>
        <c:crossAx val="344336592"/>
        <c:crosses val="autoZero"/>
        <c:auto val="1"/>
        <c:lblAlgn val="ctr"/>
        <c:lblOffset val="100"/>
        <c:noMultiLvlLbl val="0"/>
      </c:catAx>
      <c:valAx>
        <c:axId val="3443365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4332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E3-420E-83B0-EC841D26C12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89E3-420E-83B0-EC841D26C12B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>
            <c:ext xmlns:c16="http://schemas.microsoft.com/office/drawing/2014/chart" uri="{C3380CC4-5D6E-409C-BE32-E72D297353CC}">
              <c16:uniqueId val="{00000003-89E3-420E-83B0-EC841D26C12B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89E3-420E-83B0-EC841D26C12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4333848"/>
        <c:axId val="344336984"/>
        <c:axId val="0"/>
      </c:bar3DChart>
      <c:catAx>
        <c:axId val="344333848"/>
        <c:scaling>
          <c:orientation val="minMax"/>
        </c:scaling>
        <c:delete val="1"/>
        <c:axPos val="b"/>
        <c:majorTickMark val="out"/>
        <c:minorTickMark val="none"/>
        <c:tickLblPos val="none"/>
        <c:crossAx val="344336984"/>
        <c:crosses val="autoZero"/>
        <c:auto val="1"/>
        <c:lblAlgn val="ctr"/>
        <c:lblOffset val="100"/>
        <c:noMultiLvlLbl val="0"/>
      </c:catAx>
      <c:valAx>
        <c:axId val="3443369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4333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B5-43D7-87B4-94354B2967E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>
            <c:ext xmlns:c16="http://schemas.microsoft.com/office/drawing/2014/chart" uri="{C3380CC4-5D6E-409C-BE32-E72D297353CC}">
              <c16:uniqueId val="{00000002-4CB5-43D7-87B4-94354B2967EB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>
            <c:ext xmlns:c16="http://schemas.microsoft.com/office/drawing/2014/chart" uri="{C3380CC4-5D6E-409C-BE32-E72D297353CC}">
              <c16:uniqueId val="{00000003-4CB5-43D7-87B4-94354B2967EB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B5-43D7-87B4-94354B2967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4CB5-43D7-87B4-94354B2967E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4337376"/>
        <c:axId val="344333064"/>
        <c:axId val="0"/>
      </c:bar3DChart>
      <c:catAx>
        <c:axId val="344337376"/>
        <c:scaling>
          <c:orientation val="minMax"/>
        </c:scaling>
        <c:delete val="1"/>
        <c:axPos val="b"/>
        <c:majorTickMark val="out"/>
        <c:minorTickMark val="none"/>
        <c:tickLblPos val="none"/>
        <c:crossAx val="344333064"/>
        <c:crosses val="autoZero"/>
        <c:auto val="1"/>
        <c:lblAlgn val="ctr"/>
        <c:lblOffset val="100"/>
        <c:noMultiLvlLbl val="0"/>
      </c:catAx>
      <c:valAx>
        <c:axId val="3443330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433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0.59347566948659103</c:v>
              </c:pt>
            </c:numLit>
          </c:val>
          <c:extLst>
            <c:ext xmlns:c16="http://schemas.microsoft.com/office/drawing/2014/chart" uri="{C3380CC4-5D6E-409C-BE32-E72D297353CC}">
              <c16:uniqueId val="{00000000-A4B3-4561-984E-1EE18D13F43D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0.40652433051340808</c:v>
              </c:pt>
            </c:numLit>
          </c:val>
          <c:extLst>
            <c:ext xmlns:c16="http://schemas.microsoft.com/office/drawing/2014/chart" uri="{C3380CC4-5D6E-409C-BE32-E72D297353CC}">
              <c16:uniqueId val="{00000001-A4B3-4561-984E-1EE18D13F43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44334632"/>
        <c:axId val="344337768"/>
        <c:axId val="0"/>
      </c:bar3DChart>
      <c:catAx>
        <c:axId val="344334632"/>
        <c:scaling>
          <c:orientation val="minMax"/>
        </c:scaling>
        <c:delete val="1"/>
        <c:axPos val="b"/>
        <c:majorTickMark val="out"/>
        <c:minorTickMark val="none"/>
        <c:tickLblPos val="none"/>
        <c:crossAx val="344337768"/>
        <c:crosses val="autoZero"/>
        <c:auto val="1"/>
        <c:lblAlgn val="ctr"/>
        <c:lblOffset val="100"/>
        <c:noMultiLvlLbl val="0"/>
      </c:catAx>
      <c:valAx>
        <c:axId val="3443377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4334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F5-49D0-8F44-79C867B461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42502905</c:v>
              </c:pt>
            </c:numLit>
          </c:val>
          <c:extLst>
            <c:ext xmlns:c16="http://schemas.microsoft.com/office/drawing/2014/chart" uri="{C3380CC4-5D6E-409C-BE32-E72D297353CC}">
              <c16:uniqueId val="{00000001-0AF5-49D0-8F44-79C867B4617F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44330712"/>
        <c:axId val="344333456"/>
        <c:axId val="0"/>
      </c:bar3DChart>
      <c:catAx>
        <c:axId val="344330712"/>
        <c:scaling>
          <c:orientation val="minMax"/>
        </c:scaling>
        <c:delete val="1"/>
        <c:axPos val="b"/>
        <c:majorTickMark val="out"/>
        <c:minorTickMark val="none"/>
        <c:tickLblPos val="none"/>
        <c:crossAx val="344333456"/>
        <c:crosses val="autoZero"/>
        <c:auto val="1"/>
        <c:lblAlgn val="ctr"/>
        <c:lblOffset val="100"/>
        <c:noMultiLvlLbl val="0"/>
      </c:catAx>
      <c:valAx>
        <c:axId val="3443334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4330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03-4A13-BE79-6D280DD7B2A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>
            <c:ext xmlns:c16="http://schemas.microsoft.com/office/drawing/2014/chart" uri="{C3380CC4-5D6E-409C-BE32-E72D297353CC}">
              <c16:uniqueId val="{00000002-B603-4A13-BE79-6D280DD7B2A4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B603-4A13-BE79-6D280DD7B2A4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>
            <c:ext xmlns:c16="http://schemas.microsoft.com/office/drawing/2014/chart" uri="{C3380CC4-5D6E-409C-BE32-E72D297353CC}">
              <c16:uniqueId val="{00000004-B603-4A13-BE79-6D280DD7B2A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4331104"/>
        <c:axId val="344331496"/>
        <c:axId val="0"/>
      </c:bar3DChart>
      <c:catAx>
        <c:axId val="344331104"/>
        <c:scaling>
          <c:orientation val="minMax"/>
        </c:scaling>
        <c:delete val="1"/>
        <c:axPos val="b"/>
        <c:majorTickMark val="out"/>
        <c:minorTickMark val="none"/>
        <c:tickLblPos val="none"/>
        <c:crossAx val="344331496"/>
        <c:crosses val="autoZero"/>
        <c:auto val="1"/>
        <c:lblAlgn val="ctr"/>
        <c:lblOffset val="100"/>
        <c:noMultiLvlLbl val="0"/>
      </c:catAx>
      <c:valAx>
        <c:axId val="3443314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4331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A-4FAE-8BE0-06D18D4B628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>
            <c:ext xmlns:c16="http://schemas.microsoft.com/office/drawing/2014/chart" uri="{C3380CC4-5D6E-409C-BE32-E72D297353CC}">
              <c16:uniqueId val="{00000002-577A-4FAE-8BE0-06D18D4B628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>
            <c:ext xmlns:c16="http://schemas.microsoft.com/office/drawing/2014/chart" uri="{C3380CC4-5D6E-409C-BE32-E72D297353CC}">
              <c16:uniqueId val="{00000003-577A-4FAE-8BE0-06D18D4B628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577A-4FAE-8BE0-06D18D4B628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4843352"/>
        <c:axId val="344847664"/>
        <c:axId val="0"/>
      </c:bar3DChart>
      <c:catAx>
        <c:axId val="344843352"/>
        <c:scaling>
          <c:orientation val="minMax"/>
        </c:scaling>
        <c:delete val="1"/>
        <c:axPos val="b"/>
        <c:majorTickMark val="out"/>
        <c:minorTickMark val="none"/>
        <c:tickLblPos val="none"/>
        <c:crossAx val="344847664"/>
        <c:crosses val="autoZero"/>
        <c:auto val="1"/>
        <c:lblAlgn val="ctr"/>
        <c:lblOffset val="100"/>
        <c:noMultiLvlLbl val="0"/>
      </c:catAx>
      <c:valAx>
        <c:axId val="3448476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4843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0.61022372726297403</c:v>
              </c:pt>
            </c:numLit>
          </c:val>
          <c:extLst>
            <c:ext xmlns:c16="http://schemas.microsoft.com/office/drawing/2014/chart" uri="{C3380CC4-5D6E-409C-BE32-E72D297353CC}">
              <c16:uniqueId val="{00000000-8394-4431-BAB9-EE2F8FC2EF4D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0.38977627273702675</c:v>
              </c:pt>
            </c:numLit>
          </c:val>
          <c:extLst>
            <c:ext xmlns:c16="http://schemas.microsoft.com/office/drawing/2014/chart" uri="{C3380CC4-5D6E-409C-BE32-E72D297353CC}">
              <c16:uniqueId val="{00000001-8394-4431-BAB9-EE2F8FC2EF4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44841784"/>
        <c:axId val="344842568"/>
        <c:axId val="0"/>
      </c:bar3DChart>
      <c:catAx>
        <c:axId val="344841784"/>
        <c:scaling>
          <c:orientation val="minMax"/>
        </c:scaling>
        <c:delete val="1"/>
        <c:axPos val="b"/>
        <c:majorTickMark val="out"/>
        <c:minorTickMark val="none"/>
        <c:tickLblPos val="none"/>
        <c:crossAx val="344842568"/>
        <c:crosses val="autoZero"/>
        <c:auto val="1"/>
        <c:lblAlgn val="ctr"/>
        <c:lblOffset val="100"/>
        <c:noMultiLvlLbl val="0"/>
      </c:catAx>
      <c:valAx>
        <c:axId val="3448425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4841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BE-4B1D-BAAE-1666C6AEE9A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48322944</c:v>
              </c:pt>
            </c:numLit>
          </c:val>
          <c:extLst>
            <c:ext xmlns:c16="http://schemas.microsoft.com/office/drawing/2014/chart" uri="{C3380CC4-5D6E-409C-BE32-E72D297353CC}">
              <c16:uniqueId val="{00000001-83BE-4B1D-BAAE-1666C6AEE9A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44848840"/>
        <c:axId val="344843744"/>
        <c:axId val="0"/>
      </c:bar3DChart>
      <c:catAx>
        <c:axId val="344848840"/>
        <c:scaling>
          <c:orientation val="minMax"/>
        </c:scaling>
        <c:delete val="1"/>
        <c:axPos val="b"/>
        <c:majorTickMark val="out"/>
        <c:minorTickMark val="none"/>
        <c:tickLblPos val="none"/>
        <c:crossAx val="344843744"/>
        <c:crosses val="autoZero"/>
        <c:auto val="1"/>
        <c:lblAlgn val="ctr"/>
        <c:lblOffset val="100"/>
        <c:noMultiLvlLbl val="0"/>
      </c:catAx>
      <c:valAx>
        <c:axId val="3448437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4848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D7-4AEA-9A36-CACA9DF12C9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0.35085452632047187</c:v>
              </c:pt>
            </c:numLit>
          </c:val>
          <c:extLst>
            <c:ext xmlns:c16="http://schemas.microsoft.com/office/drawing/2014/chart" uri="{C3380CC4-5D6E-409C-BE32-E72D297353CC}">
              <c16:uniqueId val="{00000002-30D7-4AEA-9A36-CACA9DF12C9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30D7-4AEA-9A36-CACA9DF12C9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30D7-4AEA-9A36-CACA9DF12C9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4842960"/>
        <c:axId val="344845312"/>
        <c:axId val="0"/>
      </c:bar3DChart>
      <c:catAx>
        <c:axId val="344842960"/>
        <c:scaling>
          <c:orientation val="minMax"/>
        </c:scaling>
        <c:delete val="1"/>
        <c:axPos val="b"/>
        <c:majorTickMark val="out"/>
        <c:minorTickMark val="none"/>
        <c:tickLblPos val="none"/>
        <c:crossAx val="344845312"/>
        <c:crosses val="autoZero"/>
        <c:auto val="1"/>
        <c:lblAlgn val="ctr"/>
        <c:lblOffset val="100"/>
        <c:noMultiLvlLbl val="0"/>
      </c:catAx>
      <c:valAx>
        <c:axId val="3448453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484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0D-41C5-BFDE-C2198AAF717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0.56117904226518311</c:v>
              </c:pt>
            </c:numLit>
          </c:val>
          <c:extLst>
            <c:ext xmlns:c16="http://schemas.microsoft.com/office/drawing/2014/chart" uri="{C3380CC4-5D6E-409C-BE32-E72D297353CC}">
              <c16:uniqueId val="{00000002-600D-41C5-BFDE-C2198AAF717B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0.15089727485558399</c:v>
              </c:pt>
            </c:numLit>
          </c:val>
          <c:extLst>
            <c:ext xmlns:c16="http://schemas.microsoft.com/office/drawing/2014/chart" uri="{C3380CC4-5D6E-409C-BE32-E72D297353CC}">
              <c16:uniqueId val="{00000003-600D-41C5-BFDE-C2198AAF717B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0.28792368287923775</c:v>
              </c:pt>
            </c:numLit>
          </c:val>
          <c:extLst>
            <c:ext xmlns:c16="http://schemas.microsoft.com/office/drawing/2014/chart" uri="{C3380CC4-5D6E-409C-BE32-E72D297353CC}">
              <c16:uniqueId val="{00000004-600D-41C5-BFDE-C2198AAF717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5688824"/>
        <c:axId val="325691960"/>
        <c:axId val="0"/>
      </c:bar3DChart>
      <c:catAx>
        <c:axId val="325688824"/>
        <c:scaling>
          <c:orientation val="minMax"/>
        </c:scaling>
        <c:delete val="1"/>
        <c:axPos val="b"/>
        <c:majorTickMark val="out"/>
        <c:minorTickMark val="none"/>
        <c:tickLblPos val="none"/>
        <c:crossAx val="325691960"/>
        <c:crosses val="autoZero"/>
        <c:auto val="1"/>
        <c:lblAlgn val="ctr"/>
        <c:lblOffset val="100"/>
        <c:noMultiLvlLbl val="0"/>
      </c:catAx>
      <c:valAx>
        <c:axId val="325691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5688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22-49A5-8E7D-B6FB01673F2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>
            <c:ext xmlns:c16="http://schemas.microsoft.com/office/drawing/2014/chart" uri="{C3380CC4-5D6E-409C-BE32-E72D297353CC}">
              <c16:uniqueId val="{00000002-4422-49A5-8E7D-B6FB01673F29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4422-49A5-8E7D-B6FB01673F29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4422-49A5-8E7D-B6FB01673F2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4848056"/>
        <c:axId val="344846880"/>
        <c:axId val="0"/>
      </c:bar3DChart>
      <c:catAx>
        <c:axId val="344848056"/>
        <c:scaling>
          <c:orientation val="minMax"/>
        </c:scaling>
        <c:delete val="1"/>
        <c:axPos val="b"/>
        <c:majorTickMark val="out"/>
        <c:minorTickMark val="none"/>
        <c:tickLblPos val="none"/>
        <c:crossAx val="344846880"/>
        <c:crosses val="autoZero"/>
        <c:auto val="1"/>
        <c:lblAlgn val="ctr"/>
        <c:lblOffset val="100"/>
        <c:noMultiLvlLbl val="0"/>
      </c:catAx>
      <c:valAx>
        <c:axId val="3448468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4848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0.52558588053302002</c:v>
              </c:pt>
            </c:numLit>
          </c:val>
          <c:extLst>
            <c:ext xmlns:c16="http://schemas.microsoft.com/office/drawing/2014/chart" uri="{C3380CC4-5D6E-409C-BE32-E72D297353CC}">
              <c16:uniqueId val="{00000000-C9BD-4DF4-AAB3-52E554A9E94E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0.47441411946697698</c:v>
              </c:pt>
            </c:numLit>
          </c:val>
          <c:extLst>
            <c:ext xmlns:c16="http://schemas.microsoft.com/office/drawing/2014/chart" uri="{C3380CC4-5D6E-409C-BE32-E72D297353CC}">
              <c16:uniqueId val="{00000001-C9BD-4DF4-AAB3-52E554A9E94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44844920"/>
        <c:axId val="344847272"/>
        <c:axId val="0"/>
      </c:bar3DChart>
      <c:catAx>
        <c:axId val="344844920"/>
        <c:scaling>
          <c:orientation val="minMax"/>
        </c:scaling>
        <c:delete val="1"/>
        <c:axPos val="b"/>
        <c:majorTickMark val="out"/>
        <c:minorTickMark val="none"/>
        <c:tickLblPos val="none"/>
        <c:crossAx val="344847272"/>
        <c:crosses val="autoZero"/>
        <c:auto val="1"/>
        <c:lblAlgn val="ctr"/>
        <c:lblOffset val="100"/>
        <c:noMultiLvlLbl val="0"/>
      </c:catAx>
      <c:valAx>
        <c:axId val="3448472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4844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C1-484D-980F-EBA85CBAC6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64925907</c:v>
              </c:pt>
            </c:numLit>
          </c:val>
          <c:extLst>
            <c:ext xmlns:c16="http://schemas.microsoft.com/office/drawing/2014/chart" uri="{C3380CC4-5D6E-409C-BE32-E72D297353CC}">
              <c16:uniqueId val="{00000001-CAC1-484D-980F-EBA85CBAC63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44841392"/>
        <c:axId val="345012344"/>
        <c:axId val="0"/>
      </c:bar3DChart>
      <c:catAx>
        <c:axId val="344841392"/>
        <c:scaling>
          <c:orientation val="minMax"/>
        </c:scaling>
        <c:delete val="1"/>
        <c:axPos val="b"/>
        <c:majorTickMark val="out"/>
        <c:minorTickMark val="none"/>
        <c:tickLblPos val="none"/>
        <c:crossAx val="345012344"/>
        <c:crosses val="autoZero"/>
        <c:auto val="1"/>
        <c:lblAlgn val="ctr"/>
        <c:lblOffset val="100"/>
        <c:noMultiLvlLbl val="0"/>
      </c:catAx>
      <c:valAx>
        <c:axId val="3450123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484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B3-4D16-B5B1-8DB86420203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>
            <c:ext xmlns:c16="http://schemas.microsoft.com/office/drawing/2014/chart" uri="{C3380CC4-5D6E-409C-BE32-E72D297353CC}">
              <c16:uniqueId val="{00000002-5FB3-4D16-B5B1-8DB86420203D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5FB3-4D16-B5B1-8DB86420203D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5FB3-4D16-B5B1-8DB86420203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5011952"/>
        <c:axId val="345006856"/>
        <c:axId val="0"/>
      </c:bar3DChart>
      <c:catAx>
        <c:axId val="345011952"/>
        <c:scaling>
          <c:orientation val="minMax"/>
        </c:scaling>
        <c:delete val="1"/>
        <c:axPos val="b"/>
        <c:majorTickMark val="out"/>
        <c:minorTickMark val="none"/>
        <c:tickLblPos val="none"/>
        <c:crossAx val="345006856"/>
        <c:crosses val="autoZero"/>
        <c:auto val="1"/>
        <c:lblAlgn val="ctr"/>
        <c:lblOffset val="100"/>
        <c:noMultiLvlLbl val="0"/>
      </c:catAx>
      <c:valAx>
        <c:axId val="3450068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5011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AE-47FA-8179-A3DF21A39D0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>
            <c:ext xmlns:c16="http://schemas.microsoft.com/office/drawing/2014/chart" uri="{C3380CC4-5D6E-409C-BE32-E72D297353CC}">
              <c16:uniqueId val="{00000002-41AE-47FA-8179-A3DF21A39D09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41AE-47FA-8179-A3DF21A39D09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41AE-47FA-8179-A3DF21A39D0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5010776"/>
        <c:axId val="345012736"/>
        <c:axId val="0"/>
      </c:bar3DChart>
      <c:catAx>
        <c:axId val="345010776"/>
        <c:scaling>
          <c:orientation val="minMax"/>
        </c:scaling>
        <c:delete val="1"/>
        <c:axPos val="b"/>
        <c:majorTickMark val="out"/>
        <c:minorTickMark val="none"/>
        <c:tickLblPos val="none"/>
        <c:crossAx val="345012736"/>
        <c:crosses val="autoZero"/>
        <c:auto val="1"/>
        <c:lblAlgn val="ctr"/>
        <c:lblOffset val="100"/>
        <c:noMultiLvlLbl val="0"/>
      </c:catAx>
      <c:valAx>
        <c:axId val="3450127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5010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0.54837431822457938</c:v>
              </c:pt>
            </c:numLit>
          </c:val>
          <c:extLst>
            <c:ext xmlns:c16="http://schemas.microsoft.com/office/drawing/2014/chart" uri="{C3380CC4-5D6E-409C-BE32-E72D297353CC}">
              <c16:uniqueId val="{00000000-3A30-4E5B-84B7-B238E7DD817E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0.45162568177542556</c:v>
              </c:pt>
            </c:numLit>
          </c:val>
          <c:extLst>
            <c:ext xmlns:c16="http://schemas.microsoft.com/office/drawing/2014/chart" uri="{C3380CC4-5D6E-409C-BE32-E72D297353CC}">
              <c16:uniqueId val="{00000001-3A30-4E5B-84B7-B238E7DD817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45006464"/>
        <c:axId val="345010384"/>
        <c:axId val="0"/>
      </c:bar3DChart>
      <c:catAx>
        <c:axId val="345006464"/>
        <c:scaling>
          <c:orientation val="minMax"/>
        </c:scaling>
        <c:delete val="1"/>
        <c:axPos val="b"/>
        <c:majorTickMark val="out"/>
        <c:minorTickMark val="none"/>
        <c:tickLblPos val="none"/>
        <c:crossAx val="345010384"/>
        <c:crosses val="autoZero"/>
        <c:auto val="1"/>
        <c:lblAlgn val="ctr"/>
        <c:lblOffset val="100"/>
        <c:noMultiLvlLbl val="0"/>
      </c:catAx>
      <c:valAx>
        <c:axId val="3450103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500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70-403A-ADAE-57A7F0E59A8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93546383</c:v>
              </c:pt>
            </c:numLit>
          </c:val>
          <c:extLst>
            <c:ext xmlns:c16="http://schemas.microsoft.com/office/drawing/2014/chart" uri="{C3380CC4-5D6E-409C-BE32-E72D297353CC}">
              <c16:uniqueId val="{00000001-A070-403A-ADAE-57A7F0E59A8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45011560"/>
        <c:axId val="345008424"/>
        <c:axId val="0"/>
      </c:bar3DChart>
      <c:catAx>
        <c:axId val="345011560"/>
        <c:scaling>
          <c:orientation val="minMax"/>
        </c:scaling>
        <c:delete val="1"/>
        <c:axPos val="b"/>
        <c:majorTickMark val="out"/>
        <c:minorTickMark val="none"/>
        <c:tickLblPos val="none"/>
        <c:crossAx val="345008424"/>
        <c:crosses val="autoZero"/>
        <c:auto val="1"/>
        <c:lblAlgn val="ctr"/>
        <c:lblOffset val="100"/>
        <c:noMultiLvlLbl val="0"/>
      </c:catAx>
      <c:valAx>
        <c:axId val="3450084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5011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0F-4792-AB0E-B413E0ABF3F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910F-4792-AB0E-B413E0ABF3FA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0.36739029025514663</c:v>
              </c:pt>
            </c:numLit>
          </c:val>
          <c:extLst>
            <c:ext xmlns:c16="http://schemas.microsoft.com/office/drawing/2014/chart" uri="{C3380CC4-5D6E-409C-BE32-E72D297353CC}">
              <c16:uniqueId val="{00000003-910F-4792-AB0E-B413E0ABF3FA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910F-4792-AB0E-B413E0ABF3F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5007248"/>
        <c:axId val="345005288"/>
        <c:axId val="0"/>
      </c:bar3DChart>
      <c:catAx>
        <c:axId val="345007248"/>
        <c:scaling>
          <c:orientation val="minMax"/>
        </c:scaling>
        <c:delete val="1"/>
        <c:axPos val="b"/>
        <c:majorTickMark val="out"/>
        <c:minorTickMark val="none"/>
        <c:tickLblPos val="none"/>
        <c:crossAx val="345005288"/>
        <c:crosses val="autoZero"/>
        <c:auto val="1"/>
        <c:lblAlgn val="ctr"/>
        <c:lblOffset val="100"/>
        <c:noMultiLvlLbl val="0"/>
      </c:catAx>
      <c:valAx>
        <c:axId val="3450052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5007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EA-449C-A134-4A10D3D0B51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0.58889778377691748</c:v>
              </c:pt>
            </c:numLit>
          </c:val>
          <c:extLst>
            <c:ext xmlns:c16="http://schemas.microsoft.com/office/drawing/2014/chart" uri="{C3380CC4-5D6E-409C-BE32-E72D297353CC}">
              <c16:uniqueId val="{00000002-9EEA-449C-A134-4A10D3D0B510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9.0537663289418313E-2</c:v>
              </c:pt>
            </c:numLit>
          </c:val>
          <c:extLst>
            <c:ext xmlns:c16="http://schemas.microsoft.com/office/drawing/2014/chart" uri="{C3380CC4-5D6E-409C-BE32-E72D297353CC}">
              <c16:uniqueId val="{00000003-9EEA-449C-A134-4A10D3D0B510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0.32056455293365987</c:v>
              </c:pt>
            </c:numLit>
          </c:val>
          <c:extLst>
            <c:ext xmlns:c16="http://schemas.microsoft.com/office/drawing/2014/chart" uri="{C3380CC4-5D6E-409C-BE32-E72D297353CC}">
              <c16:uniqueId val="{00000004-9EEA-449C-A134-4A10D3D0B51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5008032"/>
        <c:axId val="345008816"/>
        <c:axId val="0"/>
      </c:bar3DChart>
      <c:catAx>
        <c:axId val="345008032"/>
        <c:scaling>
          <c:orientation val="minMax"/>
        </c:scaling>
        <c:delete val="1"/>
        <c:axPos val="b"/>
        <c:majorTickMark val="out"/>
        <c:minorTickMark val="none"/>
        <c:tickLblPos val="none"/>
        <c:crossAx val="345008816"/>
        <c:crosses val="autoZero"/>
        <c:auto val="1"/>
        <c:lblAlgn val="ctr"/>
        <c:lblOffset val="100"/>
        <c:noMultiLvlLbl val="0"/>
      </c:catAx>
      <c:valAx>
        <c:axId val="3450088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5008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0.56568018445743551</c:v>
              </c:pt>
            </c:numLit>
          </c:val>
          <c:extLst>
            <c:ext xmlns:c16="http://schemas.microsoft.com/office/drawing/2014/chart" uri="{C3380CC4-5D6E-409C-BE32-E72D297353CC}">
              <c16:uniqueId val="{00000000-AFE9-45FC-A7E4-314003B0FB46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0.43431981554256394</c:v>
              </c:pt>
            </c:numLit>
          </c:val>
          <c:extLst>
            <c:ext xmlns:c16="http://schemas.microsoft.com/office/drawing/2014/chart" uri="{C3380CC4-5D6E-409C-BE32-E72D297353CC}">
              <c16:uniqueId val="{00000001-AFE9-45FC-A7E4-314003B0FB46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45910408"/>
        <c:axId val="345909624"/>
        <c:axId val="0"/>
      </c:bar3DChart>
      <c:catAx>
        <c:axId val="345910408"/>
        <c:scaling>
          <c:orientation val="minMax"/>
        </c:scaling>
        <c:delete val="1"/>
        <c:axPos val="b"/>
        <c:majorTickMark val="out"/>
        <c:minorTickMark val="none"/>
        <c:tickLblPos val="none"/>
        <c:crossAx val="345909624"/>
        <c:crosses val="autoZero"/>
        <c:auto val="1"/>
        <c:lblAlgn val="ctr"/>
        <c:lblOffset val="100"/>
        <c:noMultiLvlLbl val="0"/>
      </c:catAx>
      <c:valAx>
        <c:axId val="3459096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5910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2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E6-41D7-8FF9-03717BD2B18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0.42983940119082575</c:v>
              </c:pt>
            </c:numLit>
          </c:val>
          <c:extLst>
            <c:ext xmlns:c16="http://schemas.microsoft.com/office/drawing/2014/chart" uri="{C3380CC4-5D6E-409C-BE32-E72D297353CC}">
              <c16:uniqueId val="{00000002-E5E6-41D7-8FF9-03717BD2B180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0.37516828426961418</c:v>
              </c:pt>
            </c:numLit>
          </c:val>
          <c:extLst>
            <c:ext xmlns:c16="http://schemas.microsoft.com/office/drawing/2014/chart" uri="{C3380CC4-5D6E-409C-BE32-E72D297353CC}">
              <c16:uniqueId val="{00000003-E5E6-41D7-8FF9-03717BD2B180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0.19499231453956431</c:v>
              </c:pt>
            </c:numLit>
          </c:val>
          <c:extLst>
            <c:ext xmlns:c16="http://schemas.microsoft.com/office/drawing/2014/chart" uri="{C3380CC4-5D6E-409C-BE32-E72D297353CC}">
              <c16:uniqueId val="{00000004-E5E6-41D7-8FF9-03717BD2B18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5690000"/>
        <c:axId val="325691176"/>
        <c:axId val="0"/>
      </c:bar3DChart>
      <c:catAx>
        <c:axId val="325690000"/>
        <c:scaling>
          <c:orientation val="minMax"/>
        </c:scaling>
        <c:delete val="1"/>
        <c:axPos val="b"/>
        <c:majorTickMark val="out"/>
        <c:minorTickMark val="none"/>
        <c:tickLblPos val="none"/>
        <c:crossAx val="325691176"/>
        <c:crosses val="autoZero"/>
        <c:auto val="1"/>
        <c:lblAlgn val="ctr"/>
        <c:lblOffset val="100"/>
        <c:noMultiLvlLbl val="0"/>
      </c:catAx>
      <c:valAx>
        <c:axId val="3256911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5690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35-42DD-888E-F056480D58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119225769</c:v>
              </c:pt>
            </c:numLit>
          </c:val>
          <c:extLst>
            <c:ext xmlns:c16="http://schemas.microsoft.com/office/drawing/2014/chart" uri="{C3380CC4-5D6E-409C-BE32-E72D297353CC}">
              <c16:uniqueId val="{00000001-4135-42DD-888E-F056480D589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45913936"/>
        <c:axId val="345910016"/>
        <c:axId val="0"/>
      </c:bar3DChart>
      <c:catAx>
        <c:axId val="345913936"/>
        <c:scaling>
          <c:orientation val="minMax"/>
        </c:scaling>
        <c:delete val="1"/>
        <c:axPos val="b"/>
        <c:majorTickMark val="out"/>
        <c:minorTickMark val="none"/>
        <c:tickLblPos val="none"/>
        <c:crossAx val="345910016"/>
        <c:crosses val="autoZero"/>
        <c:auto val="1"/>
        <c:lblAlgn val="ctr"/>
        <c:lblOffset val="100"/>
        <c:noMultiLvlLbl val="0"/>
      </c:catAx>
      <c:valAx>
        <c:axId val="3459100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5913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54-4BE3-81D9-8CB12671C9F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6C54-4BE3-81D9-8CB12671C9F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>
            <c:ext xmlns:c16="http://schemas.microsoft.com/office/drawing/2014/chart" uri="{C3380CC4-5D6E-409C-BE32-E72D297353CC}">
              <c16:uniqueId val="{00000003-6C54-4BE3-81D9-8CB12671C9F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>
            <c:ext xmlns:c16="http://schemas.microsoft.com/office/drawing/2014/chart" uri="{C3380CC4-5D6E-409C-BE32-E72D297353CC}">
              <c16:uniqueId val="{00000004-6C54-4BE3-81D9-8CB12671C9F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5911192"/>
        <c:axId val="345911976"/>
        <c:axId val="0"/>
      </c:bar3DChart>
      <c:catAx>
        <c:axId val="345911192"/>
        <c:scaling>
          <c:orientation val="minMax"/>
        </c:scaling>
        <c:delete val="1"/>
        <c:axPos val="b"/>
        <c:majorTickMark val="out"/>
        <c:minorTickMark val="none"/>
        <c:tickLblPos val="none"/>
        <c:crossAx val="345911976"/>
        <c:crosses val="autoZero"/>
        <c:auto val="1"/>
        <c:lblAlgn val="ctr"/>
        <c:lblOffset val="100"/>
        <c:noMultiLvlLbl val="0"/>
      </c:catAx>
      <c:valAx>
        <c:axId val="3459119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5911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ED-4D42-8F9C-FF5AA6B2934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C8ED-4D42-8F9C-FF5AA6B2934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C8ED-4D42-8F9C-FF5AA6B2934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>
            <c:ext xmlns:c16="http://schemas.microsoft.com/office/drawing/2014/chart" uri="{C3380CC4-5D6E-409C-BE32-E72D297353CC}">
              <c16:uniqueId val="{00000004-C8ED-4D42-8F9C-FF5AA6B2934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5912368"/>
        <c:axId val="345912760"/>
        <c:axId val="0"/>
      </c:bar3DChart>
      <c:catAx>
        <c:axId val="345912368"/>
        <c:scaling>
          <c:orientation val="minMax"/>
        </c:scaling>
        <c:delete val="1"/>
        <c:axPos val="b"/>
        <c:majorTickMark val="out"/>
        <c:minorTickMark val="none"/>
        <c:tickLblPos val="none"/>
        <c:crossAx val="345912760"/>
        <c:crosses val="autoZero"/>
        <c:auto val="1"/>
        <c:lblAlgn val="ctr"/>
        <c:lblOffset val="100"/>
        <c:noMultiLvlLbl val="0"/>
      </c:catAx>
      <c:valAx>
        <c:axId val="3459127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5912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0.6553221998850175</c:v>
              </c:pt>
            </c:numLit>
          </c:val>
          <c:extLst>
            <c:ext xmlns:c16="http://schemas.microsoft.com/office/drawing/2014/chart" uri="{C3380CC4-5D6E-409C-BE32-E72D297353CC}">
              <c16:uniqueId val="{00000000-DF3A-4EDA-93C9-FC095F6CE3DC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0.34467780011498056</c:v>
              </c:pt>
            </c:numLit>
          </c:val>
          <c:extLst>
            <c:ext xmlns:c16="http://schemas.microsoft.com/office/drawing/2014/chart" uri="{C3380CC4-5D6E-409C-BE32-E72D297353CC}">
              <c16:uniqueId val="{00000001-DF3A-4EDA-93C9-FC095F6CE3DC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45913544"/>
        <c:axId val="345906880"/>
        <c:axId val="0"/>
      </c:bar3DChart>
      <c:catAx>
        <c:axId val="345913544"/>
        <c:scaling>
          <c:orientation val="minMax"/>
        </c:scaling>
        <c:delete val="1"/>
        <c:axPos val="b"/>
        <c:majorTickMark val="out"/>
        <c:minorTickMark val="none"/>
        <c:tickLblPos val="none"/>
        <c:crossAx val="345906880"/>
        <c:crosses val="autoZero"/>
        <c:auto val="1"/>
        <c:lblAlgn val="ctr"/>
        <c:lblOffset val="100"/>
        <c:noMultiLvlLbl val="0"/>
      </c:catAx>
      <c:valAx>
        <c:axId val="3459068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5913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5F-4598-B275-8584844506B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130389851</c:v>
              </c:pt>
            </c:numLit>
          </c:val>
          <c:extLst>
            <c:ext xmlns:c16="http://schemas.microsoft.com/office/drawing/2014/chart" uri="{C3380CC4-5D6E-409C-BE32-E72D297353CC}">
              <c16:uniqueId val="{00000001-2F5F-4598-B275-8584844506B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45907664"/>
        <c:axId val="345909232"/>
        <c:axId val="0"/>
      </c:bar3DChart>
      <c:catAx>
        <c:axId val="345907664"/>
        <c:scaling>
          <c:orientation val="minMax"/>
        </c:scaling>
        <c:delete val="1"/>
        <c:axPos val="b"/>
        <c:majorTickMark val="out"/>
        <c:minorTickMark val="none"/>
        <c:tickLblPos val="none"/>
        <c:crossAx val="345909232"/>
        <c:crosses val="autoZero"/>
        <c:auto val="1"/>
        <c:lblAlgn val="ctr"/>
        <c:lblOffset val="100"/>
        <c:noMultiLvlLbl val="0"/>
      </c:catAx>
      <c:valAx>
        <c:axId val="3459092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5907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E7-492E-A59D-48E55820566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CFE7-492E-A59D-48E558205664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0.27055090339479787</c:v>
              </c:pt>
            </c:numLit>
          </c:val>
          <c:extLst>
            <c:ext xmlns:c16="http://schemas.microsoft.com/office/drawing/2014/chart" uri="{C3380CC4-5D6E-409C-BE32-E72D297353CC}">
              <c16:uniqueId val="{00000003-CFE7-492E-A59D-48E558205664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CFE7-492E-A59D-48E55820566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5908448"/>
        <c:axId val="345908840"/>
        <c:axId val="0"/>
      </c:bar3DChart>
      <c:catAx>
        <c:axId val="345908448"/>
        <c:scaling>
          <c:orientation val="minMax"/>
        </c:scaling>
        <c:delete val="1"/>
        <c:axPos val="b"/>
        <c:majorTickMark val="out"/>
        <c:minorTickMark val="none"/>
        <c:tickLblPos val="none"/>
        <c:crossAx val="345908840"/>
        <c:crosses val="autoZero"/>
        <c:auto val="1"/>
        <c:lblAlgn val="ctr"/>
        <c:lblOffset val="100"/>
        <c:noMultiLvlLbl val="0"/>
      </c:catAx>
      <c:valAx>
        <c:axId val="3459088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5908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5A-4ACA-8938-41BF0C8D5E2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ED5A-4ACA-8938-41BF0C8D5E24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ED5A-4ACA-8938-41BF0C8D5E24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0.31927434388856163</c:v>
              </c:pt>
            </c:numLit>
          </c:val>
          <c:extLst>
            <c:ext xmlns:c16="http://schemas.microsoft.com/office/drawing/2014/chart" uri="{C3380CC4-5D6E-409C-BE32-E72D297353CC}">
              <c16:uniqueId val="{00000004-ED5A-4ACA-8938-41BF0C8D5E2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225304"/>
        <c:axId val="346219032"/>
        <c:axId val="0"/>
      </c:bar3DChart>
      <c:catAx>
        <c:axId val="346225304"/>
        <c:scaling>
          <c:orientation val="minMax"/>
        </c:scaling>
        <c:delete val="1"/>
        <c:axPos val="b"/>
        <c:majorTickMark val="out"/>
        <c:minorTickMark val="none"/>
        <c:tickLblPos val="none"/>
        <c:crossAx val="346219032"/>
        <c:crosses val="autoZero"/>
        <c:auto val="1"/>
        <c:lblAlgn val="ctr"/>
        <c:lblOffset val="100"/>
        <c:noMultiLvlLbl val="0"/>
      </c:catAx>
      <c:valAx>
        <c:axId val="3462190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225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0.70521953606576704</c:v>
              </c:pt>
            </c:numLit>
          </c:val>
          <c:extLst>
            <c:ext xmlns:c16="http://schemas.microsoft.com/office/drawing/2014/chart" uri="{C3380CC4-5D6E-409C-BE32-E72D297353CC}">
              <c16:uniqueId val="{00000000-93D7-47E0-93D3-E50A4316B707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0.29478046393423518</c:v>
              </c:pt>
            </c:numLit>
          </c:val>
          <c:extLst>
            <c:ext xmlns:c16="http://schemas.microsoft.com/office/drawing/2014/chart" uri="{C3380CC4-5D6E-409C-BE32-E72D297353CC}">
              <c16:uniqueId val="{00000001-93D7-47E0-93D3-E50A4316B70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46224128"/>
        <c:axId val="346218248"/>
        <c:axId val="0"/>
      </c:bar3DChart>
      <c:catAx>
        <c:axId val="346224128"/>
        <c:scaling>
          <c:orientation val="minMax"/>
        </c:scaling>
        <c:delete val="1"/>
        <c:axPos val="b"/>
        <c:majorTickMark val="out"/>
        <c:minorTickMark val="none"/>
        <c:tickLblPos val="none"/>
        <c:crossAx val="346218248"/>
        <c:crosses val="autoZero"/>
        <c:auto val="1"/>
        <c:lblAlgn val="ctr"/>
        <c:lblOffset val="100"/>
        <c:noMultiLvlLbl val="0"/>
      </c:catAx>
      <c:valAx>
        <c:axId val="3462182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22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CA-4C8C-8DB6-508A56251E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149484550</c:v>
              </c:pt>
            </c:numLit>
          </c:val>
          <c:extLst>
            <c:ext xmlns:c16="http://schemas.microsoft.com/office/drawing/2014/chart" uri="{C3380CC4-5D6E-409C-BE32-E72D297353CC}">
              <c16:uniqueId val="{00000001-FBCA-4C8C-8DB6-508A56251EA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46218640"/>
        <c:axId val="346223344"/>
        <c:axId val="0"/>
      </c:bar3DChart>
      <c:catAx>
        <c:axId val="346218640"/>
        <c:scaling>
          <c:orientation val="minMax"/>
        </c:scaling>
        <c:delete val="1"/>
        <c:axPos val="b"/>
        <c:majorTickMark val="out"/>
        <c:minorTickMark val="none"/>
        <c:tickLblPos val="none"/>
        <c:crossAx val="346223344"/>
        <c:crosses val="autoZero"/>
        <c:auto val="1"/>
        <c:lblAlgn val="ctr"/>
        <c:lblOffset val="100"/>
        <c:noMultiLvlLbl val="0"/>
      </c:catAx>
      <c:valAx>
        <c:axId val="3462233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218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CA-4816-A176-53347DD9D60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BFCA-4816-A176-53347DD9D60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BFCA-4816-A176-53347DD9D60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0.20566303446211931</c:v>
              </c:pt>
            </c:numLit>
          </c:val>
          <c:extLst>
            <c:ext xmlns:c16="http://schemas.microsoft.com/office/drawing/2014/chart" uri="{C3380CC4-5D6E-409C-BE32-E72D297353CC}">
              <c16:uniqueId val="{00000004-BFCA-4816-A176-53347DD9D60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219424"/>
        <c:axId val="346224520"/>
        <c:axId val="0"/>
      </c:bar3DChart>
      <c:catAx>
        <c:axId val="346219424"/>
        <c:scaling>
          <c:orientation val="minMax"/>
        </c:scaling>
        <c:delete val="1"/>
        <c:axPos val="b"/>
        <c:majorTickMark val="out"/>
        <c:minorTickMark val="none"/>
        <c:tickLblPos val="none"/>
        <c:crossAx val="346224520"/>
        <c:crosses val="autoZero"/>
        <c:auto val="1"/>
        <c:lblAlgn val="ctr"/>
        <c:lblOffset val="100"/>
        <c:noMultiLvlLbl val="0"/>
      </c:catAx>
      <c:valAx>
        <c:axId val="3462245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219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1A-4489-8293-80D84D50A81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0.55293254459874297</c:v>
              </c:pt>
            </c:numLit>
          </c:val>
          <c:extLst>
            <c:ext xmlns:c16="http://schemas.microsoft.com/office/drawing/2014/chart" uri="{C3380CC4-5D6E-409C-BE32-E72D297353CC}">
              <c16:uniqueId val="{00000002-C61A-4489-8293-80D84D50A81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0.18051675505707143</c:v>
              </c:pt>
            </c:numLit>
          </c:val>
          <c:extLst>
            <c:ext xmlns:c16="http://schemas.microsoft.com/office/drawing/2014/chart" uri="{C3380CC4-5D6E-409C-BE32-E72D297353CC}">
              <c16:uniqueId val="{00000003-C61A-4489-8293-80D84D50A81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0.26655070034418332</c:v>
              </c:pt>
            </c:numLit>
          </c:val>
          <c:extLst>
            <c:ext xmlns:c16="http://schemas.microsoft.com/office/drawing/2014/chart" uri="{C3380CC4-5D6E-409C-BE32-E72D297353CC}">
              <c16:uniqueId val="{00000004-C61A-4489-8293-80D84D50A81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3781776"/>
        <c:axId val="323782168"/>
        <c:axId val="0"/>
      </c:bar3DChart>
      <c:catAx>
        <c:axId val="323781776"/>
        <c:scaling>
          <c:orientation val="minMax"/>
        </c:scaling>
        <c:delete val="1"/>
        <c:axPos val="b"/>
        <c:majorTickMark val="out"/>
        <c:minorTickMark val="none"/>
        <c:tickLblPos val="none"/>
        <c:crossAx val="323782168"/>
        <c:crosses val="autoZero"/>
        <c:auto val="1"/>
        <c:lblAlgn val="ctr"/>
        <c:lblOffset val="100"/>
        <c:noMultiLvlLbl val="0"/>
      </c:catAx>
      <c:valAx>
        <c:axId val="3237821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3781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3A-4EF6-8A72-4AA4D618EED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0.67392933289163726</c:v>
              </c:pt>
            </c:numLit>
          </c:val>
          <c:extLst>
            <c:ext xmlns:c16="http://schemas.microsoft.com/office/drawing/2014/chart" uri="{C3380CC4-5D6E-409C-BE32-E72D297353CC}">
              <c16:uniqueId val="{00000002-6D3A-4EF6-8A72-4AA4D618EED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6D3A-4EF6-8A72-4AA4D618EED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0.23082763404746334</c:v>
              </c:pt>
            </c:numLit>
          </c:val>
          <c:extLst>
            <c:ext xmlns:c16="http://schemas.microsoft.com/office/drawing/2014/chart" uri="{C3380CC4-5D6E-409C-BE32-E72D297353CC}">
              <c16:uniqueId val="{00000004-6D3A-4EF6-8A72-4AA4D618EED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221384"/>
        <c:axId val="346224912"/>
        <c:axId val="0"/>
      </c:bar3DChart>
      <c:catAx>
        <c:axId val="346221384"/>
        <c:scaling>
          <c:orientation val="minMax"/>
        </c:scaling>
        <c:delete val="1"/>
        <c:axPos val="b"/>
        <c:majorTickMark val="out"/>
        <c:minorTickMark val="none"/>
        <c:tickLblPos val="none"/>
        <c:crossAx val="346224912"/>
        <c:crosses val="autoZero"/>
        <c:auto val="1"/>
        <c:lblAlgn val="ctr"/>
        <c:lblOffset val="100"/>
        <c:noMultiLvlLbl val="0"/>
      </c:catAx>
      <c:valAx>
        <c:axId val="3462249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221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0.760366198560537</c:v>
              </c:pt>
            </c:numLit>
          </c:val>
          <c:extLst>
            <c:ext xmlns:c16="http://schemas.microsoft.com/office/drawing/2014/chart" uri="{C3380CC4-5D6E-409C-BE32-E72D297353CC}">
              <c16:uniqueId val="{00000000-BE95-42D0-A74A-B9A839538B5E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0.23963380143946228</c:v>
              </c:pt>
            </c:numLit>
          </c:val>
          <c:extLst>
            <c:ext xmlns:c16="http://schemas.microsoft.com/office/drawing/2014/chart" uri="{C3380CC4-5D6E-409C-BE32-E72D297353CC}">
              <c16:uniqueId val="{00000001-BE95-42D0-A74A-B9A839538B5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46223736"/>
        <c:axId val="346222168"/>
        <c:axId val="0"/>
      </c:bar3DChart>
      <c:catAx>
        <c:axId val="346223736"/>
        <c:scaling>
          <c:orientation val="minMax"/>
        </c:scaling>
        <c:delete val="1"/>
        <c:axPos val="b"/>
        <c:majorTickMark val="out"/>
        <c:minorTickMark val="none"/>
        <c:tickLblPos val="none"/>
        <c:crossAx val="346222168"/>
        <c:crosses val="autoZero"/>
        <c:auto val="1"/>
        <c:lblAlgn val="ctr"/>
        <c:lblOffset val="100"/>
        <c:noMultiLvlLbl val="0"/>
      </c:catAx>
      <c:valAx>
        <c:axId val="3462221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223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81-45A9-BF1C-C7B7BD1352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159859831</c:v>
              </c:pt>
            </c:numLit>
          </c:val>
          <c:extLst>
            <c:ext xmlns:c16="http://schemas.microsoft.com/office/drawing/2014/chart" uri="{C3380CC4-5D6E-409C-BE32-E72D297353CC}">
              <c16:uniqueId val="{00000001-F081-45A9-BF1C-C7B7BD135244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46222952"/>
        <c:axId val="346805000"/>
        <c:axId val="0"/>
      </c:bar3DChart>
      <c:catAx>
        <c:axId val="346222952"/>
        <c:scaling>
          <c:orientation val="minMax"/>
        </c:scaling>
        <c:delete val="1"/>
        <c:axPos val="b"/>
        <c:majorTickMark val="out"/>
        <c:minorTickMark val="none"/>
        <c:tickLblPos val="none"/>
        <c:crossAx val="346805000"/>
        <c:crosses val="autoZero"/>
        <c:auto val="1"/>
        <c:lblAlgn val="ctr"/>
        <c:lblOffset val="100"/>
        <c:noMultiLvlLbl val="0"/>
      </c:catAx>
      <c:valAx>
        <c:axId val="346805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222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9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CB-4262-8783-761926A1F70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0.52086331316293266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B-4262-8783-761926A1F700}"/>
            </c:ext>
          </c:extLst>
        </c:ser>
        <c:ser>
          <c:idx val="0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98255034839091E-2"/>
                  <c:y val="-9.8109895353991033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Ativo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CB-4262-8783-761926A1F70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0.34693070969839035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CB-4262-8783-761926A1F70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346802256"/>
        <c:axId val="346802648"/>
        <c:axId val="0"/>
      </c:bar3DChart>
      <c:catAx>
        <c:axId val="346802256"/>
        <c:scaling>
          <c:orientation val="minMax"/>
        </c:scaling>
        <c:delete val="1"/>
        <c:axPos val="b"/>
        <c:majorTickMark val="out"/>
        <c:minorTickMark val="none"/>
        <c:tickLblPos val="none"/>
        <c:crossAx val="346802648"/>
        <c:crosses val="autoZero"/>
        <c:auto val="1"/>
        <c:lblAlgn val="ctr"/>
        <c:lblOffset val="100"/>
        <c:noMultiLvlLbl val="0"/>
      </c:catAx>
      <c:valAx>
        <c:axId val="3468026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802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2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0.41516111983811171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7-47B3-9CB4-4E5A7EDC44C3}"/>
            </c:ext>
          </c:extLst>
        </c:ser>
        <c:ser>
          <c:idx val="1"/>
          <c:order val="1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Passivo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7-47B3-9CB4-4E5A7EDC44C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0.22765349659168888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17-47B3-9CB4-4E5A7EDC44C3}"/>
            </c:ext>
          </c:extLst>
        </c:ser>
        <c:ser>
          <c:idx val="0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28088352275057E-3"/>
                  <c:y val="-8.3216170643292744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Passivo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17-47B3-9CB4-4E5A7EDC44C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0.35718538357019941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17-47B3-9CB4-4E5A7EDC44C3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346804216"/>
        <c:axId val="346803824"/>
        <c:axId val="0"/>
      </c:bar3DChart>
      <c:catAx>
        <c:axId val="346804216"/>
        <c:scaling>
          <c:orientation val="minMax"/>
        </c:scaling>
        <c:delete val="1"/>
        <c:axPos val="b"/>
        <c:majorTickMark val="out"/>
        <c:minorTickMark val="none"/>
        <c:tickLblPos val="none"/>
        <c:crossAx val="346803824"/>
        <c:crosses val="autoZero"/>
        <c:auto val="1"/>
        <c:lblAlgn val="ctr"/>
        <c:lblOffset val="100"/>
        <c:noMultiLvlLbl val="0"/>
      </c:catAx>
      <c:valAx>
        <c:axId val="346803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804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35E-3"/>
          <c:y val="1.2195140105665411E-2"/>
          <c:w val="0.9527208756299832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0.41516111983811171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0-492F-AFAB-1807561E8E93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0.35718538357019941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0-492F-AFAB-1807561E8E93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50-492F-AFAB-1807561E8E93}"/>
              </c:ext>
            </c:extLst>
          </c:dPt>
          <c:dLbls>
            <c:dLbl>
              <c:idx val="0"/>
              <c:layout>
                <c:manualLayout>
                  <c:x val="1.5904891321208921E-2"/>
                  <c:y val="-1.920555662249544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50-492F-AFAB-1807561E8E9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0.22765349659168888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50-492F-AFAB-1807561E8E9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799120"/>
        <c:axId val="346803432"/>
        <c:axId val="0"/>
      </c:bar3DChart>
      <c:catAx>
        <c:axId val="346799120"/>
        <c:scaling>
          <c:orientation val="minMax"/>
        </c:scaling>
        <c:delete val="1"/>
        <c:axPos val="b"/>
        <c:majorTickMark val="out"/>
        <c:minorTickMark val="none"/>
        <c:tickLblPos val="none"/>
        <c:crossAx val="346803432"/>
        <c:crosses val="autoZero"/>
        <c:auto val="1"/>
        <c:lblAlgn val="ctr"/>
        <c:lblOffset val="100"/>
        <c:noMultiLvlLbl val="0"/>
      </c:catAx>
      <c:valAx>
        <c:axId val="346803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799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0.52086331316293266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7-460A-9C2C-81F751BE6C89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SITE'!$B$3</c:f>
              <c:numCache>
                <c:formatCode>0.0%</c:formatCode>
                <c:ptCount val="1"/>
                <c:pt idx="0">
                  <c:v>0.13220597713867696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7-460A-9C2C-81F751BE6C89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C7-460A-9C2C-81F751BE6C89}"/>
              </c:ext>
            </c:extLst>
          </c:dPt>
          <c:dLbls>
            <c:dLbl>
              <c:idx val="0"/>
              <c:layout>
                <c:manualLayout>
                  <c:x val="1.0506744210930521E-2"/>
                  <c:y val="-4.509314384482450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C7-460A-9C2C-81F751BE6C8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0.34693070969839035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C7-460A-9C2C-81F751BE6C8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799512"/>
        <c:axId val="346805392"/>
        <c:axId val="0"/>
      </c:bar3DChart>
      <c:catAx>
        <c:axId val="346799512"/>
        <c:scaling>
          <c:orientation val="minMax"/>
        </c:scaling>
        <c:delete val="1"/>
        <c:axPos val="b"/>
        <c:majorTickMark val="out"/>
        <c:minorTickMark val="none"/>
        <c:tickLblPos val="none"/>
        <c:crossAx val="346805392"/>
        <c:crosses val="autoZero"/>
        <c:auto val="1"/>
        <c:lblAlgn val="ctr"/>
        <c:lblOffset val="100"/>
        <c:noMultiLvlLbl val="0"/>
      </c:catAx>
      <c:valAx>
        <c:axId val="3468053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799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3C-4C34-80A4-D9684686D30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A53C-4C34-80A4-D9684686D30C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>
            <c:ext xmlns:c16="http://schemas.microsoft.com/office/drawing/2014/chart" uri="{C3380CC4-5D6E-409C-BE32-E72D297353CC}">
              <c16:uniqueId val="{00000003-A53C-4C34-80A4-D9684686D30C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A53C-4C34-80A4-D9684686D30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805784"/>
        <c:axId val="346800688"/>
        <c:axId val="0"/>
      </c:bar3DChart>
      <c:catAx>
        <c:axId val="346805784"/>
        <c:scaling>
          <c:orientation val="minMax"/>
        </c:scaling>
        <c:delete val="1"/>
        <c:axPos val="b"/>
        <c:majorTickMark val="out"/>
        <c:minorTickMark val="none"/>
        <c:tickLblPos val="none"/>
        <c:crossAx val="346800688"/>
        <c:crosses val="autoZero"/>
        <c:auto val="1"/>
        <c:lblAlgn val="ctr"/>
        <c:lblOffset val="100"/>
        <c:noMultiLvlLbl val="0"/>
      </c:catAx>
      <c:valAx>
        <c:axId val="3468006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805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3B-471B-84F1-602320FF1B2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>
            <c:ext xmlns:c16="http://schemas.microsoft.com/office/drawing/2014/chart" uri="{C3380CC4-5D6E-409C-BE32-E72D297353CC}">
              <c16:uniqueId val="{00000002-B43B-471B-84F1-602320FF1B27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>
            <c:ext xmlns:c16="http://schemas.microsoft.com/office/drawing/2014/chart" uri="{C3380CC4-5D6E-409C-BE32-E72D297353CC}">
              <c16:uniqueId val="{00000003-B43B-471B-84F1-602320FF1B27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3B-471B-84F1-602320FF1B2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B43B-471B-84F1-602320FF1B2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800296"/>
        <c:axId val="346801472"/>
        <c:axId val="0"/>
      </c:bar3DChart>
      <c:catAx>
        <c:axId val="346800296"/>
        <c:scaling>
          <c:orientation val="minMax"/>
        </c:scaling>
        <c:delete val="1"/>
        <c:axPos val="b"/>
        <c:majorTickMark val="out"/>
        <c:minorTickMark val="none"/>
        <c:tickLblPos val="none"/>
        <c:crossAx val="346801472"/>
        <c:crosses val="autoZero"/>
        <c:auto val="1"/>
        <c:lblAlgn val="ctr"/>
        <c:lblOffset val="100"/>
        <c:noMultiLvlLbl val="0"/>
      </c:catAx>
      <c:valAx>
        <c:axId val="3468014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800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BA-4F19-8356-21B79542AB2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>
            <c:ext xmlns:c16="http://schemas.microsoft.com/office/drawing/2014/chart" uri="{C3380CC4-5D6E-409C-BE32-E72D297353CC}">
              <c16:uniqueId val="{00000002-BABA-4F19-8356-21B79542AB2D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BABA-4F19-8356-21B79542AB2D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>
            <c:ext xmlns:c16="http://schemas.microsoft.com/office/drawing/2014/chart" uri="{C3380CC4-5D6E-409C-BE32-E72D297353CC}">
              <c16:uniqueId val="{00000004-BABA-4F19-8356-21B79542AB2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615736"/>
        <c:axId val="346616128"/>
        <c:axId val="0"/>
      </c:bar3DChart>
      <c:catAx>
        <c:axId val="346615736"/>
        <c:scaling>
          <c:orientation val="minMax"/>
        </c:scaling>
        <c:delete val="1"/>
        <c:axPos val="b"/>
        <c:majorTickMark val="out"/>
        <c:minorTickMark val="none"/>
        <c:tickLblPos val="none"/>
        <c:crossAx val="346616128"/>
        <c:crosses val="autoZero"/>
        <c:auto val="1"/>
        <c:lblAlgn val="ctr"/>
        <c:lblOffset val="100"/>
        <c:noMultiLvlLbl val="0"/>
      </c:catAx>
      <c:valAx>
        <c:axId val="3466161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615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2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EE-42EB-AA1F-CF875EB5AD6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0.48971939398585812</c:v>
              </c:pt>
            </c:numLit>
          </c:val>
          <c:extLst>
            <c:ext xmlns:c16="http://schemas.microsoft.com/office/drawing/2014/chart" uri="{C3380CC4-5D6E-409C-BE32-E72D297353CC}">
              <c16:uniqueId val="{00000002-06EE-42EB-AA1F-CF875EB5AD68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0.33517241503141976</c:v>
              </c:pt>
            </c:numLit>
          </c:val>
          <c:extLst>
            <c:ext xmlns:c16="http://schemas.microsoft.com/office/drawing/2014/chart" uri="{C3380CC4-5D6E-409C-BE32-E72D297353CC}">
              <c16:uniqueId val="{00000003-06EE-42EB-AA1F-CF875EB5AD68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0.17510819098272731</c:v>
              </c:pt>
            </c:numLit>
          </c:val>
          <c:extLst>
            <c:ext xmlns:c16="http://schemas.microsoft.com/office/drawing/2014/chart" uri="{C3380CC4-5D6E-409C-BE32-E72D297353CC}">
              <c16:uniqueId val="{00000004-06EE-42EB-AA1F-CF875EB5AD6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212312"/>
        <c:axId val="327209960"/>
        <c:axId val="0"/>
      </c:bar3DChart>
      <c:catAx>
        <c:axId val="327212312"/>
        <c:scaling>
          <c:orientation val="minMax"/>
        </c:scaling>
        <c:delete val="1"/>
        <c:axPos val="b"/>
        <c:majorTickMark val="out"/>
        <c:minorTickMark val="none"/>
        <c:tickLblPos val="none"/>
        <c:crossAx val="327209960"/>
        <c:crosses val="autoZero"/>
        <c:auto val="1"/>
        <c:lblAlgn val="ctr"/>
        <c:lblOffset val="100"/>
        <c:noMultiLvlLbl val="0"/>
      </c:catAx>
      <c:valAx>
        <c:axId val="327209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12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FA-4900-8CCD-014BC702C4B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>
            <c:ext xmlns:c16="http://schemas.microsoft.com/office/drawing/2014/chart" uri="{C3380CC4-5D6E-409C-BE32-E72D297353CC}">
              <c16:uniqueId val="{00000002-C8FA-4900-8CCD-014BC702C4BB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>
            <c:ext xmlns:c16="http://schemas.microsoft.com/office/drawing/2014/chart" uri="{C3380CC4-5D6E-409C-BE32-E72D297353CC}">
              <c16:uniqueId val="{00000003-C8FA-4900-8CCD-014BC702C4BB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C8FA-4900-8CCD-014BC702C4B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625144"/>
        <c:axId val="346622792"/>
        <c:axId val="0"/>
      </c:bar3DChart>
      <c:catAx>
        <c:axId val="346625144"/>
        <c:scaling>
          <c:orientation val="minMax"/>
        </c:scaling>
        <c:delete val="1"/>
        <c:axPos val="b"/>
        <c:majorTickMark val="out"/>
        <c:minorTickMark val="none"/>
        <c:tickLblPos val="none"/>
        <c:crossAx val="346622792"/>
        <c:crosses val="autoZero"/>
        <c:auto val="1"/>
        <c:lblAlgn val="ctr"/>
        <c:lblOffset val="100"/>
        <c:noMultiLvlLbl val="0"/>
      </c:catAx>
      <c:valAx>
        <c:axId val="3466227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625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C1-41B0-8178-44A1D058C6F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0.35085452632047187</c:v>
              </c:pt>
            </c:numLit>
          </c:val>
          <c:extLst>
            <c:ext xmlns:c16="http://schemas.microsoft.com/office/drawing/2014/chart" uri="{C3380CC4-5D6E-409C-BE32-E72D297353CC}">
              <c16:uniqueId val="{00000002-07C1-41B0-8178-44A1D058C6F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07C1-41B0-8178-44A1D058C6F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07C1-41B0-8178-44A1D058C6F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620832"/>
        <c:axId val="346617304"/>
        <c:axId val="0"/>
      </c:bar3DChart>
      <c:catAx>
        <c:axId val="346620832"/>
        <c:scaling>
          <c:orientation val="minMax"/>
        </c:scaling>
        <c:delete val="1"/>
        <c:axPos val="b"/>
        <c:majorTickMark val="out"/>
        <c:minorTickMark val="none"/>
        <c:tickLblPos val="none"/>
        <c:crossAx val="346617304"/>
        <c:crosses val="autoZero"/>
        <c:auto val="1"/>
        <c:lblAlgn val="ctr"/>
        <c:lblOffset val="100"/>
        <c:noMultiLvlLbl val="0"/>
      </c:catAx>
      <c:valAx>
        <c:axId val="3466173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62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D11-49D0-8D8A-9C3DD649BB9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>
            <c:ext xmlns:c16="http://schemas.microsoft.com/office/drawing/2014/chart" uri="{C3380CC4-5D6E-409C-BE32-E72D297353CC}">
              <c16:uniqueId val="{00000002-3D11-49D0-8D8A-9C3DD649BB9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3D11-49D0-8D8A-9C3DD649BB9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3D11-49D0-8D8A-9C3DD649BB9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617696"/>
        <c:axId val="346618480"/>
        <c:axId val="0"/>
      </c:bar3DChart>
      <c:catAx>
        <c:axId val="346617696"/>
        <c:scaling>
          <c:orientation val="minMax"/>
        </c:scaling>
        <c:delete val="1"/>
        <c:axPos val="b"/>
        <c:majorTickMark val="out"/>
        <c:minorTickMark val="none"/>
        <c:tickLblPos val="none"/>
        <c:crossAx val="346618480"/>
        <c:crosses val="autoZero"/>
        <c:auto val="1"/>
        <c:lblAlgn val="ctr"/>
        <c:lblOffset val="100"/>
        <c:noMultiLvlLbl val="0"/>
      </c:catAx>
      <c:valAx>
        <c:axId val="3466184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61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90-415E-A407-3FFA9156CE2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>
            <c:ext xmlns:c16="http://schemas.microsoft.com/office/drawing/2014/chart" uri="{C3380CC4-5D6E-409C-BE32-E72D297353CC}">
              <c16:uniqueId val="{00000002-0990-415E-A407-3FFA9156CE2C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0990-415E-A407-3FFA9156CE2C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0990-415E-A407-3FFA9156CE2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624752"/>
        <c:axId val="346627496"/>
        <c:axId val="0"/>
      </c:bar3DChart>
      <c:catAx>
        <c:axId val="346624752"/>
        <c:scaling>
          <c:orientation val="minMax"/>
        </c:scaling>
        <c:delete val="1"/>
        <c:axPos val="b"/>
        <c:majorTickMark val="out"/>
        <c:minorTickMark val="none"/>
        <c:tickLblPos val="none"/>
        <c:crossAx val="346627496"/>
        <c:crosses val="autoZero"/>
        <c:auto val="1"/>
        <c:lblAlgn val="ctr"/>
        <c:lblOffset val="100"/>
        <c:noMultiLvlLbl val="0"/>
      </c:catAx>
      <c:valAx>
        <c:axId val="3466274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62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C3-4543-9FCC-CF6DE1D69A0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>
            <c:ext xmlns:c16="http://schemas.microsoft.com/office/drawing/2014/chart" uri="{C3380CC4-5D6E-409C-BE32-E72D297353CC}">
              <c16:uniqueId val="{00000002-FEC3-4543-9FCC-CF6DE1D69A0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FEC3-4543-9FCC-CF6DE1D69A0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FEC3-4543-9FCC-CF6DE1D69A0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625928"/>
        <c:axId val="346626320"/>
        <c:axId val="0"/>
      </c:bar3DChart>
      <c:catAx>
        <c:axId val="346625928"/>
        <c:scaling>
          <c:orientation val="minMax"/>
        </c:scaling>
        <c:delete val="1"/>
        <c:axPos val="b"/>
        <c:majorTickMark val="out"/>
        <c:minorTickMark val="none"/>
        <c:tickLblPos val="none"/>
        <c:crossAx val="346626320"/>
        <c:crosses val="autoZero"/>
        <c:auto val="1"/>
        <c:lblAlgn val="ctr"/>
        <c:lblOffset val="100"/>
        <c:noMultiLvlLbl val="0"/>
      </c:catAx>
      <c:valAx>
        <c:axId val="3466263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625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94-4585-AE8C-9597658F90D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0E94-4585-AE8C-9597658F90D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0.36739029025514663</c:v>
              </c:pt>
            </c:numLit>
          </c:val>
          <c:extLst>
            <c:ext xmlns:c16="http://schemas.microsoft.com/office/drawing/2014/chart" uri="{C3380CC4-5D6E-409C-BE32-E72D297353CC}">
              <c16:uniqueId val="{00000003-0E94-4585-AE8C-9597658F90D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0E94-4585-AE8C-9597658F90D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619264"/>
        <c:axId val="346626712"/>
        <c:axId val="0"/>
      </c:bar3DChart>
      <c:catAx>
        <c:axId val="346619264"/>
        <c:scaling>
          <c:orientation val="minMax"/>
        </c:scaling>
        <c:delete val="1"/>
        <c:axPos val="b"/>
        <c:majorTickMark val="out"/>
        <c:minorTickMark val="none"/>
        <c:tickLblPos val="none"/>
        <c:crossAx val="346626712"/>
        <c:crosses val="autoZero"/>
        <c:auto val="1"/>
        <c:lblAlgn val="ctr"/>
        <c:lblOffset val="100"/>
        <c:noMultiLvlLbl val="0"/>
      </c:catAx>
      <c:valAx>
        <c:axId val="3466267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61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77-410B-9733-1D3D7BF8760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0.58889778377691748</c:v>
              </c:pt>
            </c:numLit>
          </c:val>
          <c:extLst>
            <c:ext xmlns:c16="http://schemas.microsoft.com/office/drawing/2014/chart" uri="{C3380CC4-5D6E-409C-BE32-E72D297353CC}">
              <c16:uniqueId val="{00000002-1A77-410B-9733-1D3D7BF8760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9.0537663289418313E-2</c:v>
              </c:pt>
            </c:numLit>
          </c:val>
          <c:extLst>
            <c:ext xmlns:c16="http://schemas.microsoft.com/office/drawing/2014/chart" uri="{C3380CC4-5D6E-409C-BE32-E72D297353CC}">
              <c16:uniqueId val="{00000003-1A77-410B-9733-1D3D7BF8760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0.32056455293365987</c:v>
              </c:pt>
            </c:numLit>
          </c:val>
          <c:extLst>
            <c:ext xmlns:c16="http://schemas.microsoft.com/office/drawing/2014/chart" uri="{C3380CC4-5D6E-409C-BE32-E72D297353CC}">
              <c16:uniqueId val="{00000004-1A77-410B-9733-1D3D7BF8760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619656"/>
        <c:axId val="346620048"/>
        <c:axId val="0"/>
      </c:bar3DChart>
      <c:catAx>
        <c:axId val="346619656"/>
        <c:scaling>
          <c:orientation val="minMax"/>
        </c:scaling>
        <c:delete val="1"/>
        <c:axPos val="b"/>
        <c:majorTickMark val="out"/>
        <c:minorTickMark val="none"/>
        <c:tickLblPos val="none"/>
        <c:crossAx val="346620048"/>
        <c:crosses val="autoZero"/>
        <c:auto val="1"/>
        <c:lblAlgn val="ctr"/>
        <c:lblOffset val="100"/>
        <c:noMultiLvlLbl val="0"/>
      </c:catAx>
      <c:valAx>
        <c:axId val="3466200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619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B2-4412-AF39-4F881541B71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A4B2-4412-AF39-4F881541B71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>
            <c:ext xmlns:c16="http://schemas.microsoft.com/office/drawing/2014/chart" uri="{C3380CC4-5D6E-409C-BE32-E72D297353CC}">
              <c16:uniqueId val="{00000003-A4B2-4412-AF39-4F881541B71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>
            <c:ext xmlns:c16="http://schemas.microsoft.com/office/drawing/2014/chart" uri="{C3380CC4-5D6E-409C-BE32-E72D297353CC}">
              <c16:uniqueId val="{00000004-A4B2-4412-AF39-4F881541B71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620440"/>
        <c:axId val="346621224"/>
        <c:axId val="0"/>
      </c:bar3DChart>
      <c:catAx>
        <c:axId val="346620440"/>
        <c:scaling>
          <c:orientation val="minMax"/>
        </c:scaling>
        <c:delete val="1"/>
        <c:axPos val="b"/>
        <c:majorTickMark val="out"/>
        <c:minorTickMark val="none"/>
        <c:tickLblPos val="none"/>
        <c:crossAx val="346621224"/>
        <c:crosses val="autoZero"/>
        <c:auto val="1"/>
        <c:lblAlgn val="ctr"/>
        <c:lblOffset val="100"/>
        <c:noMultiLvlLbl val="0"/>
      </c:catAx>
      <c:valAx>
        <c:axId val="3466212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620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AA-4E5E-AD58-D471D7E97EA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E3AA-4E5E-AD58-D471D7E97EA8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E3AA-4E5E-AD58-D471D7E97EA8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>
            <c:ext xmlns:c16="http://schemas.microsoft.com/office/drawing/2014/chart" uri="{C3380CC4-5D6E-409C-BE32-E72D297353CC}">
              <c16:uniqueId val="{00000004-E3AA-4E5E-AD58-D471D7E97EA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615344"/>
        <c:axId val="346622008"/>
        <c:axId val="0"/>
      </c:bar3DChart>
      <c:catAx>
        <c:axId val="346615344"/>
        <c:scaling>
          <c:orientation val="minMax"/>
        </c:scaling>
        <c:delete val="1"/>
        <c:axPos val="b"/>
        <c:majorTickMark val="out"/>
        <c:minorTickMark val="none"/>
        <c:tickLblPos val="none"/>
        <c:crossAx val="346622008"/>
        <c:crosses val="autoZero"/>
        <c:auto val="1"/>
        <c:lblAlgn val="ctr"/>
        <c:lblOffset val="100"/>
        <c:noMultiLvlLbl val="0"/>
      </c:catAx>
      <c:valAx>
        <c:axId val="3466220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61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0A-4C2F-BC51-D6461B9928B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F50A-4C2F-BC51-D6461B9928B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0.27055090339479787</c:v>
              </c:pt>
            </c:numLit>
          </c:val>
          <c:extLst>
            <c:ext xmlns:c16="http://schemas.microsoft.com/office/drawing/2014/chart" uri="{C3380CC4-5D6E-409C-BE32-E72D297353CC}">
              <c16:uniqueId val="{00000003-F50A-4C2F-BC51-D6461B9928B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F50A-4C2F-BC51-D6461B9928B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623184"/>
        <c:axId val="346623576"/>
        <c:axId val="0"/>
      </c:bar3DChart>
      <c:catAx>
        <c:axId val="346623184"/>
        <c:scaling>
          <c:orientation val="minMax"/>
        </c:scaling>
        <c:delete val="1"/>
        <c:axPos val="b"/>
        <c:majorTickMark val="out"/>
        <c:minorTickMark val="none"/>
        <c:tickLblPos val="none"/>
        <c:crossAx val="346623576"/>
        <c:crosses val="autoZero"/>
        <c:auto val="1"/>
        <c:lblAlgn val="ctr"/>
        <c:lblOffset val="100"/>
        <c:noMultiLvlLbl val="0"/>
      </c:catAx>
      <c:valAx>
        <c:axId val="3466235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62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35-408D-833A-2518CBDFD36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0.31766257899631456</c:v>
              </c:pt>
            </c:numLit>
          </c:val>
          <c:extLst>
            <c:ext xmlns:c16="http://schemas.microsoft.com/office/drawing/2014/chart" uri="{C3380CC4-5D6E-409C-BE32-E72D297353CC}">
              <c16:uniqueId val="{00000002-4A35-408D-833A-2518CBDFD36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0.36324465280031493</c:v>
              </c:pt>
            </c:numLit>
          </c:val>
          <c:extLst>
            <c:ext xmlns:c16="http://schemas.microsoft.com/office/drawing/2014/chart" uri="{C3380CC4-5D6E-409C-BE32-E72D297353CC}">
              <c16:uniqueId val="{00000003-4A35-408D-833A-2518CBDFD36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0.31909276820337062</c:v>
              </c:pt>
            </c:numLit>
          </c:val>
          <c:extLst>
            <c:ext xmlns:c16="http://schemas.microsoft.com/office/drawing/2014/chart" uri="{C3380CC4-5D6E-409C-BE32-E72D297353CC}">
              <c16:uniqueId val="{00000004-4A35-408D-833A-2518CBDFD36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208784"/>
        <c:axId val="327211528"/>
        <c:axId val="0"/>
      </c:bar3DChart>
      <c:catAx>
        <c:axId val="327208784"/>
        <c:scaling>
          <c:orientation val="minMax"/>
        </c:scaling>
        <c:delete val="1"/>
        <c:axPos val="b"/>
        <c:majorTickMark val="out"/>
        <c:minorTickMark val="none"/>
        <c:tickLblPos val="none"/>
        <c:crossAx val="327211528"/>
        <c:crosses val="autoZero"/>
        <c:auto val="1"/>
        <c:lblAlgn val="ctr"/>
        <c:lblOffset val="100"/>
        <c:noMultiLvlLbl val="0"/>
      </c:catAx>
      <c:valAx>
        <c:axId val="3272115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08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C4-4EF6-8825-4FB9A06A7FC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E6C4-4EF6-8825-4FB9A06A7FC3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E6C4-4EF6-8825-4FB9A06A7FC3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0.31927434388856163</c:v>
              </c:pt>
            </c:numLit>
          </c:val>
          <c:extLst>
            <c:ext xmlns:c16="http://schemas.microsoft.com/office/drawing/2014/chart" uri="{C3380CC4-5D6E-409C-BE32-E72D297353CC}">
              <c16:uniqueId val="{00000004-E6C4-4EF6-8825-4FB9A06A7FC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627888"/>
        <c:axId val="346628280"/>
        <c:axId val="0"/>
      </c:bar3DChart>
      <c:catAx>
        <c:axId val="346627888"/>
        <c:scaling>
          <c:orientation val="minMax"/>
        </c:scaling>
        <c:delete val="1"/>
        <c:axPos val="b"/>
        <c:majorTickMark val="out"/>
        <c:minorTickMark val="none"/>
        <c:tickLblPos val="none"/>
        <c:crossAx val="346628280"/>
        <c:crosses val="autoZero"/>
        <c:auto val="1"/>
        <c:lblAlgn val="ctr"/>
        <c:lblOffset val="100"/>
        <c:noMultiLvlLbl val="0"/>
      </c:catAx>
      <c:valAx>
        <c:axId val="3466282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627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D52-4113-8AA4-62C086514DD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3D52-4113-8AA4-62C086514DD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3D52-4113-8AA4-62C086514DD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0.20566303446211931</c:v>
              </c:pt>
            </c:numLit>
          </c:val>
          <c:extLst>
            <c:ext xmlns:c16="http://schemas.microsoft.com/office/drawing/2014/chart" uri="{C3380CC4-5D6E-409C-BE32-E72D297353CC}">
              <c16:uniqueId val="{00000004-3D52-4113-8AA4-62C086514DD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630632"/>
        <c:axId val="346630240"/>
        <c:axId val="0"/>
      </c:bar3DChart>
      <c:catAx>
        <c:axId val="346630632"/>
        <c:scaling>
          <c:orientation val="minMax"/>
        </c:scaling>
        <c:delete val="1"/>
        <c:axPos val="b"/>
        <c:majorTickMark val="out"/>
        <c:minorTickMark val="none"/>
        <c:tickLblPos val="none"/>
        <c:crossAx val="346630240"/>
        <c:crosses val="autoZero"/>
        <c:auto val="1"/>
        <c:lblAlgn val="ctr"/>
        <c:lblOffset val="100"/>
        <c:noMultiLvlLbl val="0"/>
      </c:catAx>
      <c:valAx>
        <c:axId val="3466302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630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85-4FDD-9BF3-9CAA353D5AA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0.67392933289163726</c:v>
              </c:pt>
            </c:numLit>
          </c:val>
          <c:extLst>
            <c:ext xmlns:c16="http://schemas.microsoft.com/office/drawing/2014/chart" uri="{C3380CC4-5D6E-409C-BE32-E72D297353CC}">
              <c16:uniqueId val="{00000002-F685-4FDD-9BF3-9CAA353D5AA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F685-4FDD-9BF3-9CAA353D5AA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0.23082763404746334</c:v>
              </c:pt>
            </c:numLit>
          </c:val>
          <c:extLst>
            <c:ext xmlns:c16="http://schemas.microsoft.com/office/drawing/2014/chart" uri="{C3380CC4-5D6E-409C-BE32-E72D297353CC}">
              <c16:uniqueId val="{00000004-F685-4FDD-9BF3-9CAA353D5AA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6629848"/>
        <c:axId val="346628672"/>
        <c:axId val="0"/>
      </c:bar3DChart>
      <c:catAx>
        <c:axId val="346629848"/>
        <c:scaling>
          <c:orientation val="minMax"/>
        </c:scaling>
        <c:delete val="1"/>
        <c:axPos val="b"/>
        <c:majorTickMark val="out"/>
        <c:minorTickMark val="none"/>
        <c:tickLblPos val="none"/>
        <c:crossAx val="346628672"/>
        <c:crosses val="autoZero"/>
        <c:auto val="1"/>
        <c:lblAlgn val="ctr"/>
        <c:lblOffset val="100"/>
        <c:noMultiLvlLbl val="0"/>
      </c:catAx>
      <c:valAx>
        <c:axId val="3466286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6629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35E-3"/>
          <c:y val="1.2195140105665411E-2"/>
          <c:w val="0.9527208756299832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SITE'!$C$8</c:f>
              <c:numCache>
                <c:formatCode>0.0%</c:formatCode>
                <c:ptCount val="1"/>
                <c:pt idx="0">
                  <c:v>0.42340243282648005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1-4832-AB49-4BD186ED7246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SITE'!$C$7</c:f>
              <c:numCache>
                <c:formatCode>0.0%</c:formatCode>
                <c:ptCount val="1"/>
                <c:pt idx="0">
                  <c:v>0.35735284436668174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81-4832-AB49-4BD186ED7246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81-4832-AB49-4BD186ED7246}"/>
              </c:ext>
            </c:extLst>
          </c:dPt>
          <c:dLbls>
            <c:dLbl>
              <c:idx val="0"/>
              <c:layout>
                <c:manualLayout>
                  <c:x val="2.2209067838151412E-2"/>
                  <c:y val="-2.417706932974840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81-4832-AB49-4BD186ED72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SITE'!$C$6</c:f>
              <c:numCache>
                <c:formatCode>0.0%</c:formatCode>
                <c:ptCount val="1"/>
                <c:pt idx="0">
                  <c:v>0.21924472280683818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81-4832-AB49-4BD186ED724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8500784"/>
        <c:axId val="348503528"/>
        <c:axId val="0"/>
      </c:bar3DChart>
      <c:catAx>
        <c:axId val="348500784"/>
        <c:scaling>
          <c:orientation val="minMax"/>
        </c:scaling>
        <c:delete val="1"/>
        <c:axPos val="b"/>
        <c:majorTickMark val="out"/>
        <c:minorTickMark val="none"/>
        <c:tickLblPos val="none"/>
        <c:crossAx val="348503528"/>
        <c:crosses val="autoZero"/>
        <c:auto val="1"/>
        <c:lblAlgn val="ctr"/>
        <c:lblOffset val="100"/>
        <c:noMultiLvlLbl val="0"/>
      </c:catAx>
      <c:valAx>
        <c:axId val="3485035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8500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SITE'!$C$4</c:f>
              <c:numCache>
                <c:formatCode>0.0%</c:formatCode>
                <c:ptCount val="1"/>
                <c:pt idx="0">
                  <c:v>0.51898187700381193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4-4458-ADD5-9FD5C03FC26D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SITE'!$C$3</c:f>
              <c:numCache>
                <c:formatCode>0.0%</c:formatCode>
                <c:ptCount val="1"/>
                <c:pt idx="0">
                  <c:v>0.13275091191307167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C4-4458-ADD5-9FD5C03FC26D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C4-4458-ADD5-9FD5C03FC26D}"/>
              </c:ext>
            </c:extLst>
          </c:dPt>
          <c:dLbls>
            <c:dLbl>
              <c:idx val="0"/>
              <c:layout>
                <c:manualLayout>
                  <c:x val="-8.6779080672470046E-3"/>
                  <c:y val="1.842583701427576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C4-4458-ADD5-9FD5C03FC2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SITE'!$C$2</c:f>
              <c:numCache>
                <c:formatCode>0.0%</c:formatCode>
                <c:ptCount val="1"/>
                <c:pt idx="0">
                  <c:v>0.34826721108311642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C4-4458-ADD5-9FD5C03FC26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48503920"/>
        <c:axId val="348498824"/>
        <c:axId val="0"/>
      </c:bar3DChart>
      <c:catAx>
        <c:axId val="348503920"/>
        <c:scaling>
          <c:orientation val="minMax"/>
        </c:scaling>
        <c:delete val="1"/>
        <c:axPos val="b"/>
        <c:majorTickMark val="out"/>
        <c:minorTickMark val="none"/>
        <c:tickLblPos val="none"/>
        <c:crossAx val="348498824"/>
        <c:crosses val="autoZero"/>
        <c:auto val="1"/>
        <c:lblAlgn val="ctr"/>
        <c:lblOffset val="100"/>
        <c:noMultiLvlLbl val="0"/>
      </c:catAx>
      <c:valAx>
        <c:axId val="348498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4850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2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A6-4D4E-AFD8-76CF8E800BA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0.43078580763149998</c:v>
              </c:pt>
            </c:numLit>
          </c:val>
          <c:extLst>
            <c:ext xmlns:c16="http://schemas.microsoft.com/office/drawing/2014/chart" uri="{C3380CC4-5D6E-409C-BE32-E72D297353CC}">
              <c16:uniqueId val="{00000002-2AA6-4D4E-AFD8-76CF8E800BA7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0.30935225194432375</c:v>
              </c:pt>
            </c:numLit>
          </c:val>
          <c:extLst>
            <c:ext xmlns:c16="http://schemas.microsoft.com/office/drawing/2014/chart" uri="{C3380CC4-5D6E-409C-BE32-E72D297353CC}">
              <c16:uniqueId val="{00000003-2AA6-4D4E-AFD8-76CF8E800BA7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0.25986194042417299</c:v>
              </c:pt>
            </c:numLit>
          </c:val>
          <c:extLst>
            <c:ext xmlns:c16="http://schemas.microsoft.com/office/drawing/2014/chart" uri="{C3380CC4-5D6E-409C-BE32-E72D297353CC}">
              <c16:uniqueId val="{00000004-2AA6-4D4E-AFD8-76CF8E800BA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206824"/>
        <c:axId val="327211920"/>
        <c:axId val="0"/>
      </c:bar3DChart>
      <c:catAx>
        <c:axId val="327206824"/>
        <c:scaling>
          <c:orientation val="minMax"/>
        </c:scaling>
        <c:delete val="1"/>
        <c:axPos val="b"/>
        <c:majorTickMark val="out"/>
        <c:minorTickMark val="none"/>
        <c:tickLblPos val="none"/>
        <c:crossAx val="327211920"/>
        <c:crosses val="autoZero"/>
        <c:auto val="1"/>
        <c:lblAlgn val="ctr"/>
        <c:lblOffset val="100"/>
        <c:noMultiLvlLbl val="0"/>
      </c:catAx>
      <c:valAx>
        <c:axId val="3272119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06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2D-4556-A01A-C983CF80CB1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722D-4556-A01A-C983CF80CB1B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>
            <c:ext xmlns:c16="http://schemas.microsoft.com/office/drawing/2014/chart" uri="{C3380CC4-5D6E-409C-BE32-E72D297353CC}">
              <c16:uniqueId val="{00000003-722D-4556-A01A-C983CF80CB1B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722D-4556-A01A-C983CF80CB1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210352"/>
        <c:axId val="327204864"/>
        <c:axId val="0"/>
      </c:bar3DChart>
      <c:catAx>
        <c:axId val="327210352"/>
        <c:scaling>
          <c:orientation val="minMax"/>
        </c:scaling>
        <c:delete val="1"/>
        <c:axPos val="b"/>
        <c:majorTickMark val="out"/>
        <c:minorTickMark val="none"/>
        <c:tickLblPos val="none"/>
        <c:crossAx val="327204864"/>
        <c:crosses val="autoZero"/>
        <c:auto val="1"/>
        <c:lblAlgn val="ctr"/>
        <c:lblOffset val="100"/>
        <c:noMultiLvlLbl val="0"/>
      </c:catAx>
      <c:valAx>
        <c:axId val="3272048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1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26" Type="http://schemas.openxmlformats.org/officeDocument/2006/relationships/chart" Target="../charts/chart46.xml"/><Relationship Id="rId39" Type="http://schemas.openxmlformats.org/officeDocument/2006/relationships/chart" Target="../charts/chart59.xml"/><Relationship Id="rId3" Type="http://schemas.openxmlformats.org/officeDocument/2006/relationships/chart" Target="../charts/chart23.xml"/><Relationship Id="rId21" Type="http://schemas.openxmlformats.org/officeDocument/2006/relationships/chart" Target="../charts/chart41.xml"/><Relationship Id="rId34" Type="http://schemas.openxmlformats.org/officeDocument/2006/relationships/chart" Target="../charts/chart54.xml"/><Relationship Id="rId42" Type="http://schemas.openxmlformats.org/officeDocument/2006/relationships/chart" Target="../charts/chart62.xml"/><Relationship Id="rId47" Type="http://schemas.openxmlformats.org/officeDocument/2006/relationships/chart" Target="../charts/chart67.xml"/><Relationship Id="rId50" Type="http://schemas.openxmlformats.org/officeDocument/2006/relationships/chart" Target="../charts/chart70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5" Type="http://schemas.openxmlformats.org/officeDocument/2006/relationships/chart" Target="../charts/chart45.xml"/><Relationship Id="rId33" Type="http://schemas.openxmlformats.org/officeDocument/2006/relationships/chart" Target="../charts/chart53.xml"/><Relationship Id="rId38" Type="http://schemas.openxmlformats.org/officeDocument/2006/relationships/chart" Target="../charts/chart58.xml"/><Relationship Id="rId46" Type="http://schemas.openxmlformats.org/officeDocument/2006/relationships/chart" Target="../charts/chart66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29" Type="http://schemas.openxmlformats.org/officeDocument/2006/relationships/chart" Target="../charts/chart49.xml"/><Relationship Id="rId41" Type="http://schemas.openxmlformats.org/officeDocument/2006/relationships/chart" Target="../charts/chart61.xml"/><Relationship Id="rId54" Type="http://schemas.openxmlformats.org/officeDocument/2006/relationships/chart" Target="../charts/chart74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24" Type="http://schemas.openxmlformats.org/officeDocument/2006/relationships/chart" Target="../charts/chart44.xml"/><Relationship Id="rId32" Type="http://schemas.openxmlformats.org/officeDocument/2006/relationships/chart" Target="../charts/chart52.xml"/><Relationship Id="rId37" Type="http://schemas.openxmlformats.org/officeDocument/2006/relationships/chart" Target="../charts/chart57.xml"/><Relationship Id="rId40" Type="http://schemas.openxmlformats.org/officeDocument/2006/relationships/chart" Target="../charts/chart60.xml"/><Relationship Id="rId45" Type="http://schemas.openxmlformats.org/officeDocument/2006/relationships/chart" Target="../charts/chart65.xml"/><Relationship Id="rId53" Type="http://schemas.openxmlformats.org/officeDocument/2006/relationships/chart" Target="../charts/chart73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23" Type="http://schemas.openxmlformats.org/officeDocument/2006/relationships/chart" Target="../charts/chart43.xml"/><Relationship Id="rId28" Type="http://schemas.openxmlformats.org/officeDocument/2006/relationships/chart" Target="../charts/chart48.xml"/><Relationship Id="rId36" Type="http://schemas.openxmlformats.org/officeDocument/2006/relationships/chart" Target="../charts/chart56.xml"/><Relationship Id="rId49" Type="http://schemas.openxmlformats.org/officeDocument/2006/relationships/chart" Target="../charts/chart69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31" Type="http://schemas.openxmlformats.org/officeDocument/2006/relationships/chart" Target="../charts/chart51.xml"/><Relationship Id="rId44" Type="http://schemas.openxmlformats.org/officeDocument/2006/relationships/chart" Target="../charts/chart64.xml"/><Relationship Id="rId52" Type="http://schemas.openxmlformats.org/officeDocument/2006/relationships/chart" Target="../charts/chart72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Relationship Id="rId22" Type="http://schemas.openxmlformats.org/officeDocument/2006/relationships/chart" Target="../charts/chart42.xml"/><Relationship Id="rId27" Type="http://schemas.openxmlformats.org/officeDocument/2006/relationships/chart" Target="../charts/chart47.xml"/><Relationship Id="rId30" Type="http://schemas.openxmlformats.org/officeDocument/2006/relationships/chart" Target="../charts/chart50.xml"/><Relationship Id="rId35" Type="http://schemas.openxmlformats.org/officeDocument/2006/relationships/chart" Target="../charts/chart55.xml"/><Relationship Id="rId43" Type="http://schemas.openxmlformats.org/officeDocument/2006/relationships/chart" Target="../charts/chart63.xml"/><Relationship Id="rId48" Type="http://schemas.openxmlformats.org/officeDocument/2006/relationships/chart" Target="../charts/chart68.xml"/><Relationship Id="rId8" Type="http://schemas.openxmlformats.org/officeDocument/2006/relationships/chart" Target="../charts/chart28.xml"/><Relationship Id="rId51" Type="http://schemas.openxmlformats.org/officeDocument/2006/relationships/chart" Target="../charts/chart7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graphicFrame macro="">
      <xdr:nvGraphicFramePr>
        <xdr:cNvPr id="1025" name="Chart 18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120</xdr:row>
      <xdr:rowOff>0</xdr:rowOff>
    </xdr:from>
    <xdr:to>
      <xdr:col>1</xdr:col>
      <xdr:colOff>219075</xdr:colOff>
      <xdr:row>120</xdr:row>
      <xdr:rowOff>0</xdr:rowOff>
    </xdr:to>
    <xdr:graphicFrame macro="">
      <xdr:nvGraphicFramePr>
        <xdr:cNvPr id="1026" name="Chart 19">
          <a:extLst>
            <a:ext uri="{FF2B5EF4-FFF2-40B4-BE49-F238E27FC236}">
              <a16:creationId xmlns:a16="http://schemas.microsoft.com/office/drawing/2014/main" id="{00000000-0008-0000-07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graphicFrame macro="">
      <xdr:nvGraphicFramePr>
        <xdr:cNvPr id="1027" name="Chart 20">
          <a:extLst>
            <a:ext uri="{FF2B5EF4-FFF2-40B4-BE49-F238E27FC236}">
              <a16:creationId xmlns:a16="http://schemas.microsoft.com/office/drawing/2014/main" id="{00000000-0008-0000-07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295275</xdr:colOff>
      <xdr:row>120</xdr:row>
      <xdr:rowOff>0</xdr:rowOff>
    </xdr:from>
    <xdr:to>
      <xdr:col>1</xdr:col>
      <xdr:colOff>219075</xdr:colOff>
      <xdr:row>120</xdr:row>
      <xdr:rowOff>0</xdr:rowOff>
    </xdr:to>
    <xdr:graphicFrame macro="">
      <xdr:nvGraphicFramePr>
        <xdr:cNvPr id="1028" name="Chart 21">
          <a:extLst>
            <a:ext uri="{FF2B5EF4-FFF2-40B4-BE49-F238E27FC236}">
              <a16:creationId xmlns:a16="http://schemas.microsoft.com/office/drawing/2014/main" id="{00000000-0008-0000-07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graphicFrame macro="">
      <xdr:nvGraphicFramePr>
        <xdr:cNvPr id="1029" name="Chart 22">
          <a:extLst>
            <a:ext uri="{FF2B5EF4-FFF2-40B4-BE49-F238E27FC236}">
              <a16:creationId xmlns:a16="http://schemas.microsoft.com/office/drawing/2014/main" id="{00000000-0008-0000-07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120</xdr:row>
      <xdr:rowOff>0</xdr:rowOff>
    </xdr:from>
    <xdr:to>
      <xdr:col>1</xdr:col>
      <xdr:colOff>219075</xdr:colOff>
      <xdr:row>120</xdr:row>
      <xdr:rowOff>0</xdr:rowOff>
    </xdr:to>
    <xdr:graphicFrame macro="">
      <xdr:nvGraphicFramePr>
        <xdr:cNvPr id="1030" name="Chart 23">
          <a:extLst>
            <a:ext uri="{FF2B5EF4-FFF2-40B4-BE49-F238E27FC236}">
              <a16:creationId xmlns:a16="http://schemas.microsoft.com/office/drawing/2014/main" id="{00000000-0008-0000-07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graphicFrame macro="">
      <xdr:nvGraphicFramePr>
        <xdr:cNvPr id="1031" name="Chart 24">
          <a:extLst>
            <a:ext uri="{FF2B5EF4-FFF2-40B4-BE49-F238E27FC236}">
              <a16:creationId xmlns:a16="http://schemas.microsoft.com/office/drawing/2014/main" id="{00000000-0008-0000-0700-00000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295275</xdr:colOff>
      <xdr:row>120</xdr:row>
      <xdr:rowOff>0</xdr:rowOff>
    </xdr:from>
    <xdr:to>
      <xdr:col>1</xdr:col>
      <xdr:colOff>219075</xdr:colOff>
      <xdr:row>120</xdr:row>
      <xdr:rowOff>0</xdr:rowOff>
    </xdr:to>
    <xdr:graphicFrame macro="">
      <xdr:nvGraphicFramePr>
        <xdr:cNvPr id="1032" name="Chart 25">
          <a:extLst>
            <a:ext uri="{FF2B5EF4-FFF2-40B4-BE49-F238E27FC236}">
              <a16:creationId xmlns:a16="http://schemas.microsoft.com/office/drawing/2014/main" id="{00000000-0008-0000-07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graphicFrame macro="">
      <xdr:nvGraphicFramePr>
        <xdr:cNvPr id="1033" name="Chart 26">
          <a:extLst>
            <a:ext uri="{FF2B5EF4-FFF2-40B4-BE49-F238E27FC236}">
              <a16:creationId xmlns:a16="http://schemas.microsoft.com/office/drawing/2014/main" id="{00000000-0008-0000-07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295275</xdr:colOff>
      <xdr:row>120</xdr:row>
      <xdr:rowOff>0</xdr:rowOff>
    </xdr:from>
    <xdr:to>
      <xdr:col>1</xdr:col>
      <xdr:colOff>219075</xdr:colOff>
      <xdr:row>120</xdr:row>
      <xdr:rowOff>0</xdr:rowOff>
    </xdr:to>
    <xdr:graphicFrame macro="">
      <xdr:nvGraphicFramePr>
        <xdr:cNvPr id="1034" name="Chart 27">
          <a:extLst>
            <a:ext uri="{FF2B5EF4-FFF2-40B4-BE49-F238E27FC236}">
              <a16:creationId xmlns:a16="http://schemas.microsoft.com/office/drawing/2014/main" id="{00000000-0008-0000-07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graphicFrame macro="">
      <xdr:nvGraphicFramePr>
        <xdr:cNvPr id="1035" name="Chart 28">
          <a:extLst>
            <a:ext uri="{FF2B5EF4-FFF2-40B4-BE49-F238E27FC236}">
              <a16:creationId xmlns:a16="http://schemas.microsoft.com/office/drawing/2014/main" id="{00000000-0008-0000-07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295275</xdr:colOff>
      <xdr:row>120</xdr:row>
      <xdr:rowOff>0</xdr:rowOff>
    </xdr:from>
    <xdr:to>
      <xdr:col>1</xdr:col>
      <xdr:colOff>219075</xdr:colOff>
      <xdr:row>120</xdr:row>
      <xdr:rowOff>0</xdr:rowOff>
    </xdr:to>
    <xdr:graphicFrame macro="">
      <xdr:nvGraphicFramePr>
        <xdr:cNvPr id="1036" name="Chart 29">
          <a:extLst>
            <a:ext uri="{FF2B5EF4-FFF2-40B4-BE49-F238E27FC236}">
              <a16:creationId xmlns:a16="http://schemas.microsoft.com/office/drawing/2014/main" id="{00000000-0008-0000-07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graphicFrame macro="">
      <xdr:nvGraphicFramePr>
        <xdr:cNvPr id="1037" name="Chart 30">
          <a:extLst>
            <a:ext uri="{FF2B5EF4-FFF2-40B4-BE49-F238E27FC236}">
              <a16:creationId xmlns:a16="http://schemas.microsoft.com/office/drawing/2014/main" id="{00000000-0008-0000-07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120</xdr:row>
      <xdr:rowOff>0</xdr:rowOff>
    </xdr:from>
    <xdr:to>
      <xdr:col>1</xdr:col>
      <xdr:colOff>219075</xdr:colOff>
      <xdr:row>120</xdr:row>
      <xdr:rowOff>0</xdr:rowOff>
    </xdr:to>
    <xdr:graphicFrame macro="">
      <xdr:nvGraphicFramePr>
        <xdr:cNvPr id="1038" name="Chart 31">
          <a:extLst>
            <a:ext uri="{FF2B5EF4-FFF2-40B4-BE49-F238E27FC236}">
              <a16:creationId xmlns:a16="http://schemas.microsoft.com/office/drawing/2014/main" id="{00000000-0008-0000-0700-00000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graphicFrame macro="">
      <xdr:nvGraphicFramePr>
        <xdr:cNvPr id="1039" name="Chart 32">
          <a:extLst>
            <a:ext uri="{FF2B5EF4-FFF2-40B4-BE49-F238E27FC236}">
              <a16:creationId xmlns:a16="http://schemas.microsoft.com/office/drawing/2014/main" id="{00000000-0008-0000-07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295275</xdr:colOff>
      <xdr:row>120</xdr:row>
      <xdr:rowOff>0</xdr:rowOff>
    </xdr:from>
    <xdr:to>
      <xdr:col>1</xdr:col>
      <xdr:colOff>219075</xdr:colOff>
      <xdr:row>120</xdr:row>
      <xdr:rowOff>0</xdr:rowOff>
    </xdr:to>
    <xdr:graphicFrame macro="">
      <xdr:nvGraphicFramePr>
        <xdr:cNvPr id="1040" name="Chart 33">
          <a:extLst>
            <a:ext uri="{FF2B5EF4-FFF2-40B4-BE49-F238E27FC236}">
              <a16:creationId xmlns:a16="http://schemas.microsoft.com/office/drawing/2014/main" id="{00000000-0008-0000-0700-00001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graphicFrame macro="">
      <xdr:nvGraphicFramePr>
        <xdr:cNvPr id="1041" name="Chart 34">
          <a:extLst>
            <a:ext uri="{FF2B5EF4-FFF2-40B4-BE49-F238E27FC236}">
              <a16:creationId xmlns:a16="http://schemas.microsoft.com/office/drawing/2014/main" id="{00000000-0008-0000-0700-00001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295275</xdr:colOff>
      <xdr:row>120</xdr:row>
      <xdr:rowOff>0</xdr:rowOff>
    </xdr:from>
    <xdr:to>
      <xdr:col>1</xdr:col>
      <xdr:colOff>219075</xdr:colOff>
      <xdr:row>120</xdr:row>
      <xdr:rowOff>0</xdr:rowOff>
    </xdr:to>
    <xdr:graphicFrame macro="">
      <xdr:nvGraphicFramePr>
        <xdr:cNvPr id="1042" name="Chart 35">
          <a:extLst>
            <a:ext uri="{FF2B5EF4-FFF2-40B4-BE49-F238E27FC236}">
              <a16:creationId xmlns:a16="http://schemas.microsoft.com/office/drawing/2014/main" id="{00000000-0008-0000-07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graphicFrame macro="">
      <xdr:nvGraphicFramePr>
        <xdr:cNvPr id="1043" name="Chart 36">
          <a:extLst>
            <a:ext uri="{FF2B5EF4-FFF2-40B4-BE49-F238E27FC236}">
              <a16:creationId xmlns:a16="http://schemas.microsoft.com/office/drawing/2014/main" id="{00000000-0008-0000-07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295275</xdr:colOff>
      <xdr:row>120</xdr:row>
      <xdr:rowOff>0</xdr:rowOff>
    </xdr:from>
    <xdr:to>
      <xdr:col>1</xdr:col>
      <xdr:colOff>219075</xdr:colOff>
      <xdr:row>120</xdr:row>
      <xdr:rowOff>0</xdr:rowOff>
    </xdr:to>
    <xdr:graphicFrame macro="">
      <xdr:nvGraphicFramePr>
        <xdr:cNvPr id="1044" name="Chart 37">
          <a:extLst>
            <a:ext uri="{FF2B5EF4-FFF2-40B4-BE49-F238E27FC236}">
              <a16:creationId xmlns:a16="http://schemas.microsoft.com/office/drawing/2014/main" id="{00000000-0008-0000-07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29" name="Chart 1">
          <a:extLst>
            <a:ext uri="{FF2B5EF4-FFF2-40B4-BE49-F238E27FC236}">
              <a16:creationId xmlns:a16="http://schemas.microsoft.com/office/drawing/2014/main" id="{00000000-0008-0000-0A00-00000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0" name="Chart 2">
          <a:extLst>
            <a:ext uri="{FF2B5EF4-FFF2-40B4-BE49-F238E27FC236}">
              <a16:creationId xmlns:a16="http://schemas.microsoft.com/office/drawing/2014/main" id="{00000000-0008-0000-0A00-00000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1" name="Chart 3">
          <a:extLst>
            <a:ext uri="{FF2B5EF4-FFF2-40B4-BE49-F238E27FC236}">
              <a16:creationId xmlns:a16="http://schemas.microsoft.com/office/drawing/2014/main" id="{00000000-0008-0000-0A00-00000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2" name="Chart 4">
          <a:extLst>
            <a:ext uri="{FF2B5EF4-FFF2-40B4-BE49-F238E27FC236}">
              <a16:creationId xmlns:a16="http://schemas.microsoft.com/office/drawing/2014/main" id="{00000000-0008-0000-0A00-00000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3" name="Chart 5">
          <a:extLst>
            <a:ext uri="{FF2B5EF4-FFF2-40B4-BE49-F238E27FC236}">
              <a16:creationId xmlns:a16="http://schemas.microsoft.com/office/drawing/2014/main" id="{00000000-0008-0000-0A00-00000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4" name="Chart 6">
          <a:extLst>
            <a:ext uri="{FF2B5EF4-FFF2-40B4-BE49-F238E27FC236}">
              <a16:creationId xmlns:a16="http://schemas.microsoft.com/office/drawing/2014/main" id="{00000000-0008-0000-0A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5" name="Chart 7">
          <a:extLst>
            <a:ext uri="{FF2B5EF4-FFF2-40B4-BE49-F238E27FC236}">
              <a16:creationId xmlns:a16="http://schemas.microsoft.com/office/drawing/2014/main" id="{00000000-0008-0000-0A00-00000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6" name="Chart 8">
          <a:extLst>
            <a:ext uri="{FF2B5EF4-FFF2-40B4-BE49-F238E27FC236}">
              <a16:creationId xmlns:a16="http://schemas.microsoft.com/office/drawing/2014/main" id="{00000000-0008-0000-0A00-00000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7" name="Chart 9">
          <a:extLst>
            <a:ext uri="{FF2B5EF4-FFF2-40B4-BE49-F238E27FC236}">
              <a16:creationId xmlns:a16="http://schemas.microsoft.com/office/drawing/2014/main" id="{00000000-0008-0000-0A00-00000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8" name="Chart 10">
          <a:extLst>
            <a:ext uri="{FF2B5EF4-FFF2-40B4-BE49-F238E27FC236}">
              <a16:creationId xmlns:a16="http://schemas.microsoft.com/office/drawing/2014/main" id="{00000000-0008-0000-0A00-00000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9" name="Chart 11">
          <a:extLst>
            <a:ext uri="{FF2B5EF4-FFF2-40B4-BE49-F238E27FC236}">
              <a16:creationId xmlns:a16="http://schemas.microsoft.com/office/drawing/2014/main" id="{00000000-0008-0000-0A00-00000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0" name="Chart 12">
          <a:extLst>
            <a:ext uri="{FF2B5EF4-FFF2-40B4-BE49-F238E27FC236}">
              <a16:creationId xmlns:a16="http://schemas.microsoft.com/office/drawing/2014/main" id="{00000000-0008-0000-0A00-00000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1" name="Chart 13">
          <a:extLst>
            <a:ext uri="{FF2B5EF4-FFF2-40B4-BE49-F238E27FC236}">
              <a16:creationId xmlns:a16="http://schemas.microsoft.com/office/drawing/2014/main" id="{00000000-0008-0000-0A00-00000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2" name="Chart 14">
          <a:extLst>
            <a:ext uri="{FF2B5EF4-FFF2-40B4-BE49-F238E27FC236}">
              <a16:creationId xmlns:a16="http://schemas.microsoft.com/office/drawing/2014/main" id="{00000000-0008-0000-0A00-00000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3" name="Chart 15">
          <a:extLst>
            <a:ext uri="{FF2B5EF4-FFF2-40B4-BE49-F238E27FC236}">
              <a16:creationId xmlns:a16="http://schemas.microsoft.com/office/drawing/2014/main" id="{00000000-0008-0000-0A00-00000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4" name="Chart 16">
          <a:extLst>
            <a:ext uri="{FF2B5EF4-FFF2-40B4-BE49-F238E27FC236}">
              <a16:creationId xmlns:a16="http://schemas.microsoft.com/office/drawing/2014/main" id="{00000000-0008-0000-0A00-00001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5" name="Chart 17">
          <a:extLst>
            <a:ext uri="{FF2B5EF4-FFF2-40B4-BE49-F238E27FC236}">
              <a16:creationId xmlns:a16="http://schemas.microsoft.com/office/drawing/2014/main" id="{00000000-0008-0000-0A00-00001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6" name="Chart 18">
          <a:extLst>
            <a:ext uri="{FF2B5EF4-FFF2-40B4-BE49-F238E27FC236}">
              <a16:creationId xmlns:a16="http://schemas.microsoft.com/office/drawing/2014/main" id="{00000000-0008-0000-0A00-00001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7" name="Chart 19">
          <a:extLst>
            <a:ext uri="{FF2B5EF4-FFF2-40B4-BE49-F238E27FC236}">
              <a16:creationId xmlns:a16="http://schemas.microsoft.com/office/drawing/2014/main" id="{00000000-0008-0000-0A00-00001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8" name="Chart 20">
          <a:extLst>
            <a:ext uri="{FF2B5EF4-FFF2-40B4-BE49-F238E27FC236}">
              <a16:creationId xmlns:a16="http://schemas.microsoft.com/office/drawing/2014/main" id="{00000000-0008-0000-0A00-00001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9" name="Chart 21">
          <a:extLst>
            <a:ext uri="{FF2B5EF4-FFF2-40B4-BE49-F238E27FC236}">
              <a16:creationId xmlns:a16="http://schemas.microsoft.com/office/drawing/2014/main" id="{00000000-0008-0000-0A00-00001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0" name="Chart 22">
          <a:extLst>
            <a:ext uri="{FF2B5EF4-FFF2-40B4-BE49-F238E27FC236}">
              <a16:creationId xmlns:a16="http://schemas.microsoft.com/office/drawing/2014/main" id="{00000000-0008-0000-0A00-00001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1" name="Chart 23">
          <a:extLst>
            <a:ext uri="{FF2B5EF4-FFF2-40B4-BE49-F238E27FC236}">
              <a16:creationId xmlns:a16="http://schemas.microsoft.com/office/drawing/2014/main" id="{00000000-0008-0000-0A00-00001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2" name="Chart 24">
          <a:extLst>
            <a:ext uri="{FF2B5EF4-FFF2-40B4-BE49-F238E27FC236}">
              <a16:creationId xmlns:a16="http://schemas.microsoft.com/office/drawing/2014/main" id="{00000000-0008-0000-0A00-00001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3" name="Chart 25">
          <a:extLst>
            <a:ext uri="{FF2B5EF4-FFF2-40B4-BE49-F238E27FC236}">
              <a16:creationId xmlns:a16="http://schemas.microsoft.com/office/drawing/2014/main" id="{00000000-0008-0000-0A00-00001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4" name="Chart 26">
          <a:extLst>
            <a:ext uri="{FF2B5EF4-FFF2-40B4-BE49-F238E27FC236}">
              <a16:creationId xmlns:a16="http://schemas.microsoft.com/office/drawing/2014/main" id="{00000000-0008-0000-0A00-00001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5" name="Chart 27">
          <a:extLst>
            <a:ext uri="{FF2B5EF4-FFF2-40B4-BE49-F238E27FC236}">
              <a16:creationId xmlns:a16="http://schemas.microsoft.com/office/drawing/2014/main" id="{00000000-0008-0000-0A00-00001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6" name="Chart 28">
          <a:extLst>
            <a:ext uri="{FF2B5EF4-FFF2-40B4-BE49-F238E27FC236}">
              <a16:creationId xmlns:a16="http://schemas.microsoft.com/office/drawing/2014/main" id="{00000000-0008-0000-0A00-00001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7" name="Chart 29">
          <a:extLst>
            <a:ext uri="{FF2B5EF4-FFF2-40B4-BE49-F238E27FC236}">
              <a16:creationId xmlns:a16="http://schemas.microsoft.com/office/drawing/2014/main" id="{00000000-0008-0000-0A00-00001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8" name="Chart 30">
          <a:extLst>
            <a:ext uri="{FF2B5EF4-FFF2-40B4-BE49-F238E27FC236}">
              <a16:creationId xmlns:a16="http://schemas.microsoft.com/office/drawing/2014/main" id="{00000000-0008-0000-0A00-00001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9" name="Chart 31">
          <a:extLst>
            <a:ext uri="{FF2B5EF4-FFF2-40B4-BE49-F238E27FC236}">
              <a16:creationId xmlns:a16="http://schemas.microsoft.com/office/drawing/2014/main" id="{00000000-0008-0000-0A00-00001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60" name="Chart 32">
          <a:extLst>
            <a:ext uri="{FF2B5EF4-FFF2-40B4-BE49-F238E27FC236}">
              <a16:creationId xmlns:a16="http://schemas.microsoft.com/office/drawing/2014/main" id="{00000000-0008-0000-0A00-00002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438150</xdr:colOff>
      <xdr:row>20</xdr:row>
      <xdr:rowOff>0</xdr:rowOff>
    </xdr:to>
    <xdr:graphicFrame macro="">
      <xdr:nvGraphicFramePr>
        <xdr:cNvPr id="22561" name="Chart 34">
          <a:extLst>
            <a:ext uri="{FF2B5EF4-FFF2-40B4-BE49-F238E27FC236}">
              <a16:creationId xmlns:a16="http://schemas.microsoft.com/office/drawing/2014/main" id="{00000000-0008-0000-0A00-00002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3381375</xdr:colOff>
      <xdr:row>20</xdr:row>
      <xdr:rowOff>0</xdr:rowOff>
    </xdr:from>
    <xdr:to>
      <xdr:col>4</xdr:col>
      <xdr:colOff>971550</xdr:colOff>
      <xdr:row>20</xdr:row>
      <xdr:rowOff>0</xdr:rowOff>
    </xdr:to>
    <xdr:graphicFrame macro="">
      <xdr:nvGraphicFramePr>
        <xdr:cNvPr id="22562" name="Chart 36">
          <a:extLst>
            <a:ext uri="{FF2B5EF4-FFF2-40B4-BE49-F238E27FC236}">
              <a16:creationId xmlns:a16="http://schemas.microsoft.com/office/drawing/2014/main" id="{00000000-0008-0000-0A00-00002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23</xdr:row>
      <xdr:rowOff>171450</xdr:rowOff>
    </xdr:from>
    <xdr:to>
      <xdr:col>4</xdr:col>
      <xdr:colOff>714375</xdr:colOff>
      <xdr:row>43</xdr:row>
      <xdr:rowOff>47625</xdr:rowOff>
    </xdr:to>
    <xdr:graphicFrame macro="">
      <xdr:nvGraphicFramePr>
        <xdr:cNvPr id="22563" name="Chart 377">
          <a:extLst>
            <a:ext uri="{FF2B5EF4-FFF2-40B4-BE49-F238E27FC236}">
              <a16:creationId xmlns:a16="http://schemas.microsoft.com/office/drawing/2014/main" id="{00000000-0008-0000-0A00-00002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295275</xdr:colOff>
      <xdr:row>23</xdr:row>
      <xdr:rowOff>161925</xdr:rowOff>
    </xdr:from>
    <xdr:to>
      <xdr:col>1</xdr:col>
      <xdr:colOff>219075</xdr:colOff>
      <xdr:row>43</xdr:row>
      <xdr:rowOff>47625</xdr:rowOff>
    </xdr:to>
    <xdr:graphicFrame macro="">
      <xdr:nvGraphicFramePr>
        <xdr:cNvPr id="22564" name="Chart 378">
          <a:extLst>
            <a:ext uri="{FF2B5EF4-FFF2-40B4-BE49-F238E27FC236}">
              <a16:creationId xmlns:a16="http://schemas.microsoft.com/office/drawing/2014/main" id="{00000000-0008-0000-0A00-00002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5" name="Chart 1">
          <a:extLst>
            <a:ext uri="{FF2B5EF4-FFF2-40B4-BE49-F238E27FC236}">
              <a16:creationId xmlns:a16="http://schemas.microsoft.com/office/drawing/2014/main" id="{00000000-0008-0000-0A00-00002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6" name="Chart 2">
          <a:extLst>
            <a:ext uri="{FF2B5EF4-FFF2-40B4-BE49-F238E27FC236}">
              <a16:creationId xmlns:a16="http://schemas.microsoft.com/office/drawing/2014/main" id="{00000000-0008-0000-0A00-00002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7" name="Chart 5">
          <a:extLst>
            <a:ext uri="{FF2B5EF4-FFF2-40B4-BE49-F238E27FC236}">
              <a16:creationId xmlns:a16="http://schemas.microsoft.com/office/drawing/2014/main" id="{00000000-0008-0000-0A00-00002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8" name="Chart 6">
          <a:extLst>
            <a:ext uri="{FF2B5EF4-FFF2-40B4-BE49-F238E27FC236}">
              <a16:creationId xmlns:a16="http://schemas.microsoft.com/office/drawing/2014/main" id="{00000000-0008-0000-0A00-00002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9" name="Chart 9">
          <a:extLst>
            <a:ext uri="{FF2B5EF4-FFF2-40B4-BE49-F238E27FC236}">
              <a16:creationId xmlns:a16="http://schemas.microsoft.com/office/drawing/2014/main" id="{00000000-0008-0000-0A00-00002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0" name="Chart 10">
          <a:extLst>
            <a:ext uri="{FF2B5EF4-FFF2-40B4-BE49-F238E27FC236}">
              <a16:creationId xmlns:a16="http://schemas.microsoft.com/office/drawing/2014/main" id="{00000000-0008-0000-0A00-00002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1" name="Chart 13">
          <a:extLst>
            <a:ext uri="{FF2B5EF4-FFF2-40B4-BE49-F238E27FC236}">
              <a16:creationId xmlns:a16="http://schemas.microsoft.com/office/drawing/2014/main" id="{00000000-0008-0000-0A00-00002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2" name="Chart 14">
          <a:extLst>
            <a:ext uri="{FF2B5EF4-FFF2-40B4-BE49-F238E27FC236}">
              <a16:creationId xmlns:a16="http://schemas.microsoft.com/office/drawing/2014/main" id="{00000000-0008-0000-0A00-00002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3" name="Chart 17">
          <a:extLst>
            <a:ext uri="{FF2B5EF4-FFF2-40B4-BE49-F238E27FC236}">
              <a16:creationId xmlns:a16="http://schemas.microsoft.com/office/drawing/2014/main" id="{00000000-0008-0000-0A00-00002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4" name="Chart 18">
          <a:extLst>
            <a:ext uri="{FF2B5EF4-FFF2-40B4-BE49-F238E27FC236}">
              <a16:creationId xmlns:a16="http://schemas.microsoft.com/office/drawing/2014/main" id="{00000000-0008-0000-0A00-00002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5" name="Chart 21">
          <a:extLst>
            <a:ext uri="{FF2B5EF4-FFF2-40B4-BE49-F238E27FC236}">
              <a16:creationId xmlns:a16="http://schemas.microsoft.com/office/drawing/2014/main" id="{00000000-0008-0000-0A00-00002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6" name="Chart 22">
          <a:extLst>
            <a:ext uri="{FF2B5EF4-FFF2-40B4-BE49-F238E27FC236}">
              <a16:creationId xmlns:a16="http://schemas.microsoft.com/office/drawing/2014/main" id="{00000000-0008-0000-0A00-00003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7" name="Chart 25">
          <a:extLst>
            <a:ext uri="{FF2B5EF4-FFF2-40B4-BE49-F238E27FC236}">
              <a16:creationId xmlns:a16="http://schemas.microsoft.com/office/drawing/2014/main" id="{00000000-0008-0000-0A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8" name="Chart 26">
          <a:extLst>
            <a:ext uri="{FF2B5EF4-FFF2-40B4-BE49-F238E27FC236}">
              <a16:creationId xmlns:a16="http://schemas.microsoft.com/office/drawing/2014/main" id="{00000000-0008-0000-0A00-00003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9" name="Chart 29">
          <a:extLst>
            <a:ext uri="{FF2B5EF4-FFF2-40B4-BE49-F238E27FC236}">
              <a16:creationId xmlns:a16="http://schemas.microsoft.com/office/drawing/2014/main" id="{00000000-0008-0000-0A00-00003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80" name="Chart 30">
          <a:extLst>
            <a:ext uri="{FF2B5EF4-FFF2-40B4-BE49-F238E27FC236}">
              <a16:creationId xmlns:a16="http://schemas.microsoft.com/office/drawing/2014/main" id="{00000000-0008-0000-0A00-00003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50</xdr:row>
      <xdr:rowOff>171450</xdr:rowOff>
    </xdr:from>
    <xdr:to>
      <xdr:col>4</xdr:col>
      <xdr:colOff>714375</xdr:colOff>
      <xdr:row>70</xdr:row>
      <xdr:rowOff>47625</xdr:rowOff>
    </xdr:to>
    <xdr:graphicFrame macro="">
      <xdr:nvGraphicFramePr>
        <xdr:cNvPr id="22581" name="Chart 395">
          <a:extLst>
            <a:ext uri="{FF2B5EF4-FFF2-40B4-BE49-F238E27FC236}">
              <a16:creationId xmlns:a16="http://schemas.microsoft.com/office/drawing/2014/main" id="{00000000-0008-0000-0A00-00003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295275</xdr:colOff>
      <xdr:row>50</xdr:row>
      <xdr:rowOff>161925</xdr:rowOff>
    </xdr:from>
    <xdr:to>
      <xdr:col>1</xdr:col>
      <xdr:colOff>219075</xdr:colOff>
      <xdr:row>70</xdr:row>
      <xdr:rowOff>47625</xdr:rowOff>
    </xdr:to>
    <xdr:graphicFrame macro="">
      <xdr:nvGraphicFramePr>
        <xdr:cNvPr id="22582" name="Chart 396">
          <a:extLst>
            <a:ext uri="{FF2B5EF4-FFF2-40B4-BE49-F238E27FC236}">
              <a16:creationId xmlns:a16="http://schemas.microsoft.com/office/drawing/2014/main" id="{00000000-0008-0000-0A00-00003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&#231;o/A&#231;o%20(setor)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Cultivos%20da%20natureza/Cultivos%20da%20Natureza%20(setor)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Dist.%20G&#225;s%20Natural/Distribui&#231;&#227;o%20de%20G&#225;s%20Natural%20(setor)%20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eletrodom&#233;stico/Eletrodom&#233;stico%20(setor)%20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Eletr&#244;nicos/Eletr&#244;nicos%20(setor)%20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ia/Energia%20El&#233;trica%20(setor)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Extra&#231;&#227;o%20de%20Petr&#243;leo/Extra&#231;&#227;o%20de%20Petr&#243;leo%20(setor)%20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errovias/Ferrovia%20(setor)%20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otelaria/Hotelaria%20(setor)%20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Industria%20de%20Materiais%20Diversos/Ind&#250;stria%20de%20Materiais%20Diversos%20(setor)%20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Lazer%20Cultura%20e%20Entreterimento/Lazer,%20Cultura%20e%20Entreterimento%20(setor)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93;gua%20e%20Esgoto/&#193;gua%20e%20Esgoto%20(setor)%20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5;quinas/M&#225;quinas%20(setor)%20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metais/Metais%20(setor)%20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Minera&#231;&#227;o/Minera&#231;&#227;o%20(setor)%20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Papel%20e%20Celulose/Papel%20e%20Celulose%20(setor)%20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Perfumaria%20e%20Cosm&#233;ticos/Perfumaria%20e%20Cosm&#233;ticos%20(setor)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Qu&#237;mica%20B&#225;sica/Qu&#237;mica%20B&#225;sica%20(setor)%20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Qu&#237;mica%20Diversificada/Qu&#237;mica%20Diversificada%20(setor)%20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Servi&#231;os%20de%20Sa&#250;de/Servi&#231;os%20de%20Sa&#250;de%20(setor)%20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Servi&#231;os%20de%20Telecomunica&#231;&#245;es/Servi&#231;os%20de%20Telecomunica&#231;&#245;es%20(setor)%202014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Servi&#231;os%20de%20transporte/Servi&#231;os%20de%20Transporte%20(setor)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limentos%20e%20Bebidas/Alimentos%20e%20Bebidas%20(setor)%202014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Servi&#231;os%20Diversos/Servi&#231;os%20de%20Diversos%20(setor)%202014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Servi&#231;os%20Educacionais/Servi&#231;os%20de%20Educacionais%20(setor)%202014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Softwares-e-Commerce/Softwares-e-Commerce%20(setor)%20201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Varejo%20Linhas%20especiais/Varejo%20Linhas%20Especiais%20(setor)%202014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Ve&#237;culos%20terrestres%20e%20A&#233;reos/Ve&#237;culos%20Terrestres%20e%20A&#233;reos%20(setor)%202014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Vestu&#225;rio/Vestu&#225;rio%20(setor)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uto%20Pe&#231;as/Auto-Pe&#231;as%20(setor)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l&#231;ado/Cal&#231;ado%20(setor)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imentos%20e%20Agregados/Cimentos%20e%20Agregados%20(setor)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om&#233;rcio%20Geral/Com&#233;rcio%20em%20Geral%20(setor)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Concession&#225;rias%20de%20transporte/Conc.%20De%20Transporte%20(setor)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Constru&#231;&#227;o%20Civil/Constru&#231;&#227;o%20Civil%20(setor)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8645765.6341200005</v>
          </cell>
          <cell r="E5">
            <v>48319609</v>
          </cell>
        </row>
        <row r="6">
          <cell r="B6">
            <v>8886996.6387999989</v>
          </cell>
          <cell r="E6">
            <v>50552331</v>
          </cell>
        </row>
        <row r="7">
          <cell r="B7">
            <v>15760924.514500001</v>
          </cell>
          <cell r="E7">
            <v>43854137</v>
          </cell>
        </row>
        <row r="8">
          <cell r="B8">
            <v>18304129.687000003</v>
          </cell>
          <cell r="E8">
            <v>40175427</v>
          </cell>
        </row>
        <row r="9">
          <cell r="B9">
            <v>13709744.590500001</v>
          </cell>
          <cell r="E9">
            <v>38104525</v>
          </cell>
        </row>
        <row r="10">
          <cell r="B10">
            <v>14794743.386300001</v>
          </cell>
          <cell r="E10">
            <v>40695132</v>
          </cell>
        </row>
        <row r="11">
          <cell r="B11">
            <v>22621058.813900001</v>
          </cell>
          <cell r="E11">
            <v>43675171</v>
          </cell>
        </row>
        <row r="12">
          <cell r="B12">
            <v>24662885.793229997</v>
          </cell>
          <cell r="E12">
            <v>48350713</v>
          </cell>
        </row>
        <row r="13">
          <cell r="B13">
            <v>25682721.3715</v>
          </cell>
          <cell r="E13">
            <v>48309017</v>
          </cell>
        </row>
        <row r="14">
          <cell r="B14">
            <v>30070993.771900002</v>
          </cell>
          <cell r="E14">
            <v>48279351</v>
          </cell>
        </row>
        <row r="15">
          <cell r="B15">
            <v>34557472.708400004</v>
          </cell>
          <cell r="E15">
            <v>45221305</v>
          </cell>
        </row>
        <row r="16">
          <cell r="B16">
            <v>29481212.719499998</v>
          </cell>
          <cell r="E16">
            <v>49413055</v>
          </cell>
        </row>
      </sheetData>
      <sheetData sheetId="6">
        <row r="3">
          <cell r="C3">
            <v>172965635</v>
          </cell>
        </row>
      </sheetData>
      <sheetData sheetId="7">
        <row r="5">
          <cell r="D5">
            <v>1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15859881.466</v>
          </cell>
          <cell r="E5">
            <v>25527328</v>
          </cell>
        </row>
        <row r="6">
          <cell r="B6">
            <v>16743175.236200001</v>
          </cell>
          <cell r="E6">
            <v>20096804.436000001</v>
          </cell>
        </row>
        <row r="7">
          <cell r="B7">
            <v>19892292.149572</v>
          </cell>
          <cell r="E7">
            <v>22427330.276000001</v>
          </cell>
        </row>
        <row r="8">
          <cell r="B8">
            <v>19990389.1417</v>
          </cell>
          <cell r="E8">
            <v>22048844.957000002</v>
          </cell>
        </row>
        <row r="9">
          <cell r="B9">
            <v>20779472.296479996</v>
          </cell>
          <cell r="E9">
            <v>22137338.203000002</v>
          </cell>
        </row>
        <row r="10">
          <cell r="B10">
            <v>21183419.383899998</v>
          </cell>
          <cell r="E10">
            <v>21932153.324000001</v>
          </cell>
        </row>
        <row r="11">
          <cell r="B11">
            <v>21716236.276299998</v>
          </cell>
          <cell r="E11">
            <v>22699648.266000003</v>
          </cell>
        </row>
        <row r="12">
          <cell r="B12">
            <v>23393287.316399999</v>
          </cell>
          <cell r="E12">
            <v>24975632.041999999</v>
          </cell>
        </row>
        <row r="13">
          <cell r="B13">
            <v>23625631.643800002</v>
          </cell>
          <cell r="E13">
            <v>25101098.405999999</v>
          </cell>
        </row>
        <row r="14">
          <cell r="B14">
            <v>27204840.003100004</v>
          </cell>
          <cell r="E14">
            <v>27835056.857000001</v>
          </cell>
        </row>
        <row r="15">
          <cell r="B15">
            <v>24625174.5024</v>
          </cell>
          <cell r="E15">
            <v>26891713.616999999</v>
          </cell>
        </row>
        <row r="16">
          <cell r="B16">
            <v>24240375.481899999</v>
          </cell>
          <cell r="E16">
            <v>26710087.653999999</v>
          </cell>
        </row>
      </sheetData>
      <sheetData sheetId="6">
        <row r="3">
          <cell r="C3">
            <v>90405417</v>
          </cell>
        </row>
      </sheetData>
      <sheetData sheetId="7">
        <row r="5">
          <cell r="D5">
            <v>10</v>
          </cell>
        </row>
      </sheetData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10775190.551999999</v>
          </cell>
          <cell r="E5">
            <v>12507945</v>
          </cell>
        </row>
        <row r="6">
          <cell r="B6">
            <v>10033337.82</v>
          </cell>
          <cell r="E6">
            <v>12560592</v>
          </cell>
        </row>
        <row r="7">
          <cell r="B7">
            <v>10571700.596999999</v>
          </cell>
          <cell r="E7">
            <v>12382373</v>
          </cell>
        </row>
        <row r="8">
          <cell r="B8">
            <v>10974987.038620001</v>
          </cell>
          <cell r="E8">
            <v>12594435</v>
          </cell>
        </row>
        <row r="9">
          <cell r="B9">
            <v>11497653.809999999</v>
          </cell>
          <cell r="E9">
            <v>12793892</v>
          </cell>
        </row>
        <row r="10">
          <cell r="B10">
            <v>11627928.574000001</v>
          </cell>
          <cell r="E10">
            <v>12632845</v>
          </cell>
        </row>
        <row r="11">
          <cell r="B11">
            <v>12682691.190699998</v>
          </cell>
          <cell r="E11">
            <v>12725580</v>
          </cell>
        </row>
        <row r="12">
          <cell r="B12">
            <v>12239649.9145</v>
          </cell>
          <cell r="E12">
            <v>13696587</v>
          </cell>
        </row>
        <row r="13">
          <cell r="B13">
            <v>12304905.600499999</v>
          </cell>
          <cell r="E13">
            <v>13767060</v>
          </cell>
        </row>
        <row r="14">
          <cell r="B14">
            <v>12223728.055199999</v>
          </cell>
          <cell r="E14">
            <v>14066067</v>
          </cell>
        </row>
        <row r="15">
          <cell r="B15">
            <v>11708224.804200001</v>
          </cell>
          <cell r="E15">
            <v>14371207</v>
          </cell>
        </row>
        <row r="16">
          <cell r="B16">
            <v>11666969.942000002</v>
          </cell>
          <cell r="E16">
            <v>13749808</v>
          </cell>
        </row>
      </sheetData>
      <sheetData sheetId="6">
        <row r="3">
          <cell r="C3">
            <v>12240853</v>
          </cell>
        </row>
      </sheetData>
      <sheetData sheetId="7">
        <row r="5">
          <cell r="D5">
            <v>11</v>
          </cell>
        </row>
      </sheetData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3155743.1561870002</v>
          </cell>
          <cell r="E5">
            <v>4807268</v>
          </cell>
        </row>
        <row r="6">
          <cell r="B6">
            <v>3281462.3756220001</v>
          </cell>
          <cell r="E6">
            <v>4852609</v>
          </cell>
        </row>
        <row r="7">
          <cell r="B7">
            <v>3610714.5417070002</v>
          </cell>
          <cell r="E7">
            <v>4854291</v>
          </cell>
        </row>
        <row r="8">
          <cell r="B8">
            <v>3568593.4795129998</v>
          </cell>
          <cell r="E8">
            <v>4916365</v>
          </cell>
        </row>
        <row r="9">
          <cell r="B9">
            <v>3618223.7979950001</v>
          </cell>
          <cell r="E9">
            <v>5039672</v>
          </cell>
        </row>
        <row r="10">
          <cell r="B10">
            <v>3768180.0101000001</v>
          </cell>
          <cell r="E10">
            <v>4986147</v>
          </cell>
        </row>
        <row r="11">
          <cell r="B11">
            <v>4596575.8719999995</v>
          </cell>
          <cell r="E11">
            <v>5013740</v>
          </cell>
        </row>
        <row r="12">
          <cell r="B12">
            <v>4703924.7025049999</v>
          </cell>
          <cell r="E12">
            <v>5738576</v>
          </cell>
        </row>
        <row r="13">
          <cell r="B13">
            <v>4951137.2284589997</v>
          </cell>
          <cell r="E13">
            <v>5796301</v>
          </cell>
        </row>
        <row r="14">
          <cell r="B14">
            <v>4858560.9353</v>
          </cell>
          <cell r="E14">
            <v>7551374</v>
          </cell>
        </row>
        <row r="15">
          <cell r="B15">
            <v>4957543.9381999997</v>
          </cell>
          <cell r="E15">
            <v>6980056</v>
          </cell>
        </row>
        <row r="16">
          <cell r="B16">
            <v>4631908.0983880004</v>
          </cell>
          <cell r="E16">
            <v>7173148</v>
          </cell>
        </row>
      </sheetData>
      <sheetData sheetId="6">
        <row r="3">
          <cell r="C3">
            <v>6901241</v>
          </cell>
        </row>
      </sheetData>
      <sheetData sheetId="7">
        <row r="5">
          <cell r="D5">
            <v>12</v>
          </cell>
        </row>
      </sheetData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280487.28000000003</v>
          </cell>
          <cell r="E5">
            <v>512898</v>
          </cell>
        </row>
        <row r="6">
          <cell r="B6">
            <v>282191.86</v>
          </cell>
          <cell r="E6">
            <v>524441</v>
          </cell>
        </row>
        <row r="7">
          <cell r="B7">
            <v>289376.71000000002</v>
          </cell>
          <cell r="E7">
            <v>474174</v>
          </cell>
        </row>
        <row r="8">
          <cell r="B8">
            <v>293875.20999999996</v>
          </cell>
          <cell r="E8">
            <v>485739</v>
          </cell>
        </row>
        <row r="9">
          <cell r="B9">
            <v>288761.46999999997</v>
          </cell>
          <cell r="E9">
            <v>453507</v>
          </cell>
        </row>
        <row r="10">
          <cell r="B10">
            <v>294727.5</v>
          </cell>
          <cell r="E10">
            <v>457812</v>
          </cell>
        </row>
        <row r="11">
          <cell r="B11">
            <v>339046.57999999996</v>
          </cell>
          <cell r="E11">
            <v>512914</v>
          </cell>
        </row>
        <row r="12">
          <cell r="B12">
            <v>394445.43</v>
          </cell>
          <cell r="E12">
            <v>462978</v>
          </cell>
        </row>
        <row r="13">
          <cell r="B13">
            <v>435432.95</v>
          </cell>
          <cell r="E13">
            <v>478546</v>
          </cell>
        </row>
        <row r="14">
          <cell r="B14">
            <v>520105.67</v>
          </cell>
          <cell r="E14">
            <v>444961</v>
          </cell>
        </row>
        <row r="15">
          <cell r="B15">
            <v>451683.27</v>
          </cell>
          <cell r="E15">
            <v>434627</v>
          </cell>
        </row>
        <row r="16">
          <cell r="B16">
            <v>408608.04000000004</v>
          </cell>
          <cell r="E16">
            <v>440960</v>
          </cell>
        </row>
      </sheetData>
      <sheetData sheetId="6">
        <row r="3">
          <cell r="C3">
            <v>1807542</v>
          </cell>
        </row>
      </sheetData>
      <sheetData sheetId="7">
        <row r="5">
          <cell r="D5">
            <v>13</v>
          </cell>
        </row>
      </sheetData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154653746.22042999</v>
          </cell>
          <cell r="E5">
            <v>204114053.35689998</v>
          </cell>
        </row>
        <row r="6">
          <cell r="B6">
            <v>153972667.04280996</v>
          </cell>
          <cell r="E6">
            <v>213872121.2983</v>
          </cell>
        </row>
        <row r="7">
          <cell r="B7">
            <v>172780233.79170996</v>
          </cell>
          <cell r="E7">
            <v>209649987.5984</v>
          </cell>
        </row>
        <row r="8">
          <cell r="B8">
            <v>173780150.55555001</v>
          </cell>
          <cell r="E8">
            <v>207240373.55994999</v>
          </cell>
        </row>
        <row r="9">
          <cell r="B9">
            <v>169531914.53118002</v>
          </cell>
          <cell r="E9">
            <v>200116444.93713999</v>
          </cell>
        </row>
        <row r="10">
          <cell r="B10">
            <v>184179935.05494004</v>
          </cell>
          <cell r="E10">
            <v>197201808.26319999</v>
          </cell>
        </row>
        <row r="11">
          <cell r="B11">
            <v>213937221.21571997</v>
          </cell>
          <cell r="E11">
            <v>206391600.92640001</v>
          </cell>
        </row>
        <row r="12">
          <cell r="B12">
            <v>218386018.1056</v>
          </cell>
          <cell r="E12">
            <v>216366021.78886002</v>
          </cell>
        </row>
        <row r="13">
          <cell r="B13">
            <v>209650000.15527996</v>
          </cell>
          <cell r="E13">
            <v>220684321.26786</v>
          </cell>
        </row>
        <row r="14">
          <cell r="B14">
            <v>226993966.45411998</v>
          </cell>
          <cell r="E14">
            <v>221414675.25979999</v>
          </cell>
        </row>
        <row r="15">
          <cell r="B15">
            <v>215061114.45320004</v>
          </cell>
          <cell r="E15">
            <v>215310278.23618001</v>
          </cell>
        </row>
        <row r="16">
          <cell r="B16">
            <v>213454406.68431997</v>
          </cell>
          <cell r="E16">
            <v>219937043.05849999</v>
          </cell>
        </row>
      </sheetData>
      <sheetData sheetId="6">
        <row r="3">
          <cell r="C3">
            <v>579826497</v>
          </cell>
        </row>
      </sheetData>
      <sheetData sheetId="7">
        <row r="5">
          <cell r="D5">
            <v>14</v>
          </cell>
        </row>
      </sheetData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79041011.840220004</v>
          </cell>
          <cell r="E5">
            <v>205396753</v>
          </cell>
        </row>
        <row r="6">
          <cell r="B6">
            <v>78933485.229529992</v>
          </cell>
          <cell r="E6">
            <v>204747054</v>
          </cell>
        </row>
        <row r="7">
          <cell r="B7">
            <v>127725623.26895</v>
          </cell>
          <cell r="E7">
            <v>194931796</v>
          </cell>
        </row>
        <row r="8">
          <cell r="B8">
            <v>156740797.79820001</v>
          </cell>
          <cell r="E8">
            <v>186069071</v>
          </cell>
        </row>
        <row r="9">
          <cell r="B9">
            <v>121478934.84415001</v>
          </cell>
          <cell r="E9">
            <v>174819634</v>
          </cell>
        </row>
        <row r="10">
          <cell r="B10">
            <v>139040476.50038001</v>
          </cell>
          <cell r="E10">
            <v>168479799</v>
          </cell>
        </row>
        <row r="11">
          <cell r="B11">
            <v>171530620.32108</v>
          </cell>
          <cell r="E11">
            <v>178118187</v>
          </cell>
        </row>
        <row r="12">
          <cell r="B12">
            <v>182329675.69237998</v>
          </cell>
          <cell r="E12">
            <v>181479567</v>
          </cell>
        </row>
        <row r="13">
          <cell r="B13">
            <v>189314583.43358997</v>
          </cell>
          <cell r="E13">
            <v>204426899</v>
          </cell>
        </row>
        <row r="14">
          <cell r="B14">
            <v>238486430.00600001</v>
          </cell>
          <cell r="E14">
            <v>224745873</v>
          </cell>
        </row>
        <row r="15">
          <cell r="B15">
            <v>227702205.78446999</v>
          </cell>
          <cell r="E15">
            <v>206054929</v>
          </cell>
        </row>
        <row r="16">
          <cell r="B16">
            <v>210032317.46063998</v>
          </cell>
          <cell r="E16">
            <v>217461638</v>
          </cell>
        </row>
      </sheetData>
      <sheetData sheetId="6">
        <row r="3">
          <cell r="C3">
            <v>862229267</v>
          </cell>
        </row>
      </sheetData>
      <sheetData sheetId="7">
        <row r="5">
          <cell r="D5">
            <v>15</v>
          </cell>
        </row>
      </sheetData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5890348.4069999997</v>
          </cell>
          <cell r="E5">
            <v>25055802</v>
          </cell>
        </row>
        <row r="6">
          <cell r="B6">
            <v>6223854.4069999997</v>
          </cell>
          <cell r="E6">
            <v>25871354</v>
          </cell>
        </row>
        <row r="7">
          <cell r="B7">
            <v>6205530.4069999997</v>
          </cell>
          <cell r="E7">
            <v>25370984</v>
          </cell>
        </row>
        <row r="8">
          <cell r="B8">
            <v>6150556.4069999997</v>
          </cell>
          <cell r="E8">
            <v>25798056</v>
          </cell>
        </row>
        <row r="9">
          <cell r="B9">
            <v>6112979.4069999997</v>
          </cell>
          <cell r="E9">
            <v>25090971</v>
          </cell>
        </row>
        <row r="10">
          <cell r="B10">
            <v>6149784.4069999997</v>
          </cell>
          <cell r="E10">
            <v>25583042</v>
          </cell>
        </row>
        <row r="11">
          <cell r="B11">
            <v>6499428.4069999997</v>
          </cell>
          <cell r="E11">
            <v>30458558</v>
          </cell>
        </row>
        <row r="12">
          <cell r="B12">
            <v>6687132.4069999997</v>
          </cell>
          <cell r="E12">
            <v>30619482</v>
          </cell>
        </row>
        <row r="13">
          <cell r="B13">
            <v>7025735.4069999997</v>
          </cell>
          <cell r="E13">
            <v>35671421</v>
          </cell>
        </row>
        <row r="14">
          <cell r="B14">
            <v>7172953.4069999997</v>
          </cell>
          <cell r="E14">
            <v>43040239</v>
          </cell>
        </row>
        <row r="15">
          <cell r="B15">
            <v>7910001.4069999997</v>
          </cell>
          <cell r="E15">
            <v>44775057</v>
          </cell>
        </row>
        <row r="16">
          <cell r="B16">
            <v>8025626.4069999997</v>
          </cell>
          <cell r="E16">
            <v>44734780</v>
          </cell>
        </row>
      </sheetData>
      <sheetData sheetId="6">
        <row r="3">
          <cell r="C3">
            <v>57777443</v>
          </cell>
        </row>
      </sheetData>
      <sheetData sheetId="7">
        <row r="5">
          <cell r="D5">
            <v>16</v>
          </cell>
        </row>
      </sheetData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71467.08</v>
          </cell>
          <cell r="E5">
            <v>54197</v>
          </cell>
        </row>
        <row r="6">
          <cell r="B6">
            <v>59709</v>
          </cell>
          <cell r="E6">
            <v>52360</v>
          </cell>
        </row>
        <row r="7">
          <cell r="B7">
            <v>55116</v>
          </cell>
          <cell r="E7">
            <v>53279</v>
          </cell>
        </row>
        <row r="8">
          <cell r="B8">
            <v>57871.8</v>
          </cell>
          <cell r="E8">
            <v>49972</v>
          </cell>
        </row>
        <row r="9">
          <cell r="B9">
            <v>54197.4</v>
          </cell>
          <cell r="E9">
            <v>50890</v>
          </cell>
        </row>
        <row r="10">
          <cell r="B10">
            <v>55116</v>
          </cell>
          <cell r="E10">
            <v>54197</v>
          </cell>
        </row>
        <row r="11">
          <cell r="B11">
            <v>57320.639999999999</v>
          </cell>
          <cell r="E11">
            <v>51442</v>
          </cell>
        </row>
        <row r="12">
          <cell r="B12">
            <v>53829.96</v>
          </cell>
          <cell r="E12">
            <v>54197</v>
          </cell>
        </row>
        <row r="13">
          <cell r="B13">
            <v>58606.68</v>
          </cell>
          <cell r="E13">
            <v>52360</v>
          </cell>
        </row>
        <row r="14">
          <cell r="B14">
            <v>56953.2</v>
          </cell>
          <cell r="E14">
            <v>53279</v>
          </cell>
        </row>
        <row r="15">
          <cell r="B15">
            <v>49604.4</v>
          </cell>
          <cell r="E15">
            <v>50890</v>
          </cell>
        </row>
        <row r="16">
          <cell r="B16">
            <v>60811.32</v>
          </cell>
          <cell r="E16">
            <v>49421</v>
          </cell>
        </row>
      </sheetData>
      <sheetData sheetId="6">
        <row r="3">
          <cell r="C3">
            <v>540448</v>
          </cell>
        </row>
      </sheetData>
      <sheetData sheetId="7">
        <row r="5">
          <cell r="D5">
            <v>17</v>
          </cell>
        </row>
      </sheetData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4524590.6086400002</v>
          </cell>
          <cell r="E5">
            <v>6745930</v>
          </cell>
        </row>
        <row r="6">
          <cell r="B6">
            <v>5146922.0824100003</v>
          </cell>
          <cell r="E6">
            <v>7423444</v>
          </cell>
        </row>
        <row r="7">
          <cell r="B7">
            <v>6459835.7582</v>
          </cell>
          <cell r="E7">
            <v>7946070</v>
          </cell>
        </row>
        <row r="8">
          <cell r="B8">
            <v>6370355.6232999992</v>
          </cell>
          <cell r="E8">
            <v>7868250</v>
          </cell>
        </row>
        <row r="9">
          <cell r="B9">
            <v>5978793.4565500002</v>
          </cell>
          <cell r="E9">
            <v>7355136</v>
          </cell>
        </row>
        <row r="10">
          <cell r="B10">
            <v>6864932.6575000007</v>
          </cell>
          <cell r="E10">
            <v>7798685</v>
          </cell>
        </row>
        <row r="11">
          <cell r="B11">
            <v>7933779.9942999994</v>
          </cell>
          <cell r="E11">
            <v>7470327</v>
          </cell>
        </row>
        <row r="12">
          <cell r="B12">
            <v>7156987.2971599996</v>
          </cell>
          <cell r="E12">
            <v>8186572</v>
          </cell>
        </row>
        <row r="13">
          <cell r="B13">
            <v>7374818.7379000001</v>
          </cell>
          <cell r="E13">
            <v>8920568</v>
          </cell>
        </row>
        <row r="14">
          <cell r="B14">
            <v>7411265.9285000004</v>
          </cell>
          <cell r="E14">
            <v>9246845</v>
          </cell>
        </row>
        <row r="15">
          <cell r="B15">
            <v>6182682.7121000001</v>
          </cell>
          <cell r="E15">
            <v>9032878</v>
          </cell>
        </row>
        <row r="16">
          <cell r="B16">
            <v>6175017.0738000004</v>
          </cell>
          <cell r="E16">
            <v>9327615</v>
          </cell>
        </row>
      </sheetData>
      <sheetData sheetId="6">
        <row r="3">
          <cell r="C3">
            <v>18236133</v>
          </cell>
        </row>
      </sheetData>
      <sheetData sheetId="7">
        <row r="5">
          <cell r="D5">
            <v>18</v>
          </cell>
        </row>
      </sheetData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2122074.5746900002</v>
          </cell>
          <cell r="E5">
            <v>4377408</v>
          </cell>
        </row>
        <row r="6">
          <cell r="B6">
            <v>2231290.5097899996</v>
          </cell>
          <cell r="E6">
            <v>4862088</v>
          </cell>
        </row>
        <row r="7">
          <cell r="B7">
            <v>2961061.0981899998</v>
          </cell>
          <cell r="E7">
            <v>4949883</v>
          </cell>
        </row>
        <row r="8">
          <cell r="B8">
            <v>3282822.3141900003</v>
          </cell>
          <cell r="E8">
            <v>5181015</v>
          </cell>
        </row>
        <row r="9">
          <cell r="B9">
            <v>3521598.6543899998</v>
          </cell>
          <cell r="E9">
            <v>5071932</v>
          </cell>
        </row>
        <row r="10">
          <cell r="B10">
            <v>3724088.06849</v>
          </cell>
          <cell r="E10">
            <v>5374426</v>
          </cell>
        </row>
        <row r="11">
          <cell r="B11">
            <v>3582077.4687999999</v>
          </cell>
          <cell r="E11">
            <v>5816683</v>
          </cell>
        </row>
        <row r="12">
          <cell r="B12">
            <v>3626320.3204000001</v>
          </cell>
          <cell r="E12">
            <v>6197602</v>
          </cell>
        </row>
        <row r="13">
          <cell r="B13">
            <v>3796381.4191000001</v>
          </cell>
          <cell r="E13">
            <v>6947248</v>
          </cell>
        </row>
        <row r="14">
          <cell r="B14">
            <v>3836353.9235</v>
          </cell>
          <cell r="E14">
            <v>7457279</v>
          </cell>
        </row>
        <row r="15">
          <cell r="B15">
            <v>3813914.6699999995</v>
          </cell>
          <cell r="E15">
            <v>7699924</v>
          </cell>
        </row>
        <row r="16">
          <cell r="B16">
            <v>3763793.4391000001</v>
          </cell>
          <cell r="E16">
            <v>8215625</v>
          </cell>
        </row>
      </sheetData>
      <sheetData sheetId="6">
        <row r="3">
          <cell r="C3">
            <v>7401068</v>
          </cell>
        </row>
      </sheetData>
      <sheetData sheetId="7">
        <row r="5">
          <cell r="D5">
            <v>19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24787514.792599998</v>
          </cell>
          <cell r="E5">
            <v>34438311</v>
          </cell>
        </row>
        <row r="6">
          <cell r="B6">
            <v>25429048.7841</v>
          </cell>
          <cell r="E6">
            <v>36316185</v>
          </cell>
        </row>
        <row r="7">
          <cell r="B7">
            <v>27559308.2192</v>
          </cell>
          <cell r="E7">
            <v>33556852</v>
          </cell>
        </row>
        <row r="8">
          <cell r="B8">
            <v>32544518.140500002</v>
          </cell>
          <cell r="E8">
            <v>30007696</v>
          </cell>
        </row>
        <row r="9">
          <cell r="B9">
            <v>30306575.4868</v>
          </cell>
          <cell r="E9">
            <v>29724414</v>
          </cell>
        </row>
        <row r="10">
          <cell r="B10">
            <v>33228596.4892</v>
          </cell>
          <cell r="E10">
            <v>32361787</v>
          </cell>
        </row>
        <row r="11">
          <cell r="B11">
            <v>40682295.177100003</v>
          </cell>
          <cell r="E11">
            <v>33815072</v>
          </cell>
        </row>
        <row r="12">
          <cell r="B12">
            <v>40348094.666100003</v>
          </cell>
          <cell r="E12">
            <v>38643070</v>
          </cell>
        </row>
        <row r="13">
          <cell r="B13">
            <v>38719921.131999999</v>
          </cell>
          <cell r="E13">
            <v>33670176</v>
          </cell>
        </row>
        <row r="14">
          <cell r="B14">
            <v>41784911.845399998</v>
          </cell>
          <cell r="E14">
            <v>31227871</v>
          </cell>
        </row>
        <row r="15">
          <cell r="B15">
            <v>39993176.603799999</v>
          </cell>
          <cell r="E15">
            <v>39011253</v>
          </cell>
        </row>
        <row r="16">
          <cell r="B16">
            <v>39420299.030599996</v>
          </cell>
          <cell r="E16">
            <v>35238108</v>
          </cell>
        </row>
      </sheetData>
      <sheetData sheetId="6">
        <row r="3">
          <cell r="C3">
            <v>65573110</v>
          </cell>
        </row>
      </sheetData>
      <sheetData sheetId="7">
        <row r="5">
          <cell r="D5">
            <v>2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25276367.137910001</v>
          </cell>
          <cell r="E5">
            <v>26248420</v>
          </cell>
        </row>
        <row r="6">
          <cell r="B6">
            <v>21053804.381910004</v>
          </cell>
          <cell r="E6">
            <v>27873281</v>
          </cell>
        </row>
        <row r="7">
          <cell r="B7">
            <v>23759868.52448</v>
          </cell>
          <cell r="E7">
            <v>28641912</v>
          </cell>
        </row>
        <row r="8">
          <cell r="B8">
            <v>24854331.28765</v>
          </cell>
          <cell r="E8">
            <v>29121129</v>
          </cell>
        </row>
        <row r="9">
          <cell r="B9">
            <v>23575214.391720001</v>
          </cell>
          <cell r="E9">
            <v>31245860</v>
          </cell>
        </row>
        <row r="10">
          <cell r="B10">
            <v>22525961.298360001</v>
          </cell>
          <cell r="E10">
            <v>29134587</v>
          </cell>
        </row>
        <row r="11">
          <cell r="B11">
            <v>24957400.61022</v>
          </cell>
          <cell r="E11">
            <v>31204096</v>
          </cell>
        </row>
        <row r="12">
          <cell r="B12">
            <v>27092934.886869002</v>
          </cell>
          <cell r="E12">
            <v>33714838</v>
          </cell>
        </row>
        <row r="13">
          <cell r="B13">
            <v>29061665.278840002</v>
          </cell>
          <cell r="E13">
            <v>35169676</v>
          </cell>
        </row>
        <row r="14">
          <cell r="B14">
            <v>28930226.913240001</v>
          </cell>
          <cell r="E14">
            <v>35228707</v>
          </cell>
        </row>
        <row r="15">
          <cell r="B15">
            <v>25598408.976449996</v>
          </cell>
          <cell r="E15">
            <v>37783262</v>
          </cell>
        </row>
        <row r="16">
          <cell r="B16">
            <v>25473899.919849999</v>
          </cell>
          <cell r="E16">
            <v>39794738</v>
          </cell>
        </row>
      </sheetData>
      <sheetData sheetId="6">
        <row r="3">
          <cell r="C3">
            <v>17628572</v>
          </cell>
        </row>
      </sheetData>
      <sheetData sheetId="7">
        <row r="5">
          <cell r="D5">
            <v>20</v>
          </cell>
        </row>
      </sheetData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2442281.8184000002</v>
          </cell>
          <cell r="E5">
            <v>2511974.7920200001</v>
          </cell>
        </row>
        <row r="6">
          <cell r="B6">
            <v>2244121.8700899999</v>
          </cell>
          <cell r="E6">
            <v>2615423.9920999999</v>
          </cell>
        </row>
        <row r="7">
          <cell r="B7">
            <v>2541166.6220800001</v>
          </cell>
          <cell r="E7">
            <v>2736899.4945499999</v>
          </cell>
        </row>
        <row r="8">
          <cell r="B8">
            <v>2789638.6736599999</v>
          </cell>
          <cell r="E8">
            <v>2793489.9939999999</v>
          </cell>
        </row>
        <row r="9">
          <cell r="B9">
            <v>2657792.7308299998</v>
          </cell>
          <cell r="E9">
            <v>2827208.8940099999</v>
          </cell>
        </row>
        <row r="10">
          <cell r="B10">
            <v>2656981.9555800003</v>
          </cell>
          <cell r="E10">
            <v>2766726.9946999997</v>
          </cell>
        </row>
        <row r="11">
          <cell r="B11">
            <v>3232583.07277</v>
          </cell>
          <cell r="E11">
            <v>3046310.4941499997</v>
          </cell>
        </row>
        <row r="12">
          <cell r="B12">
            <v>2704703.0686599999</v>
          </cell>
          <cell r="E12">
            <v>3245391.8938100003</v>
          </cell>
        </row>
        <row r="13">
          <cell r="B13">
            <v>2485676.7398500005</v>
          </cell>
          <cell r="E13">
            <v>3763185.3932600003</v>
          </cell>
        </row>
        <row r="14">
          <cell r="B14">
            <v>2565535.5944400001</v>
          </cell>
          <cell r="E14">
            <v>4028260.89481</v>
          </cell>
        </row>
        <row r="15">
          <cell r="B15">
            <v>2341661.5646800003</v>
          </cell>
          <cell r="E15">
            <v>3920119.7370500001</v>
          </cell>
        </row>
        <row r="16">
          <cell r="B16">
            <v>2455337.2384100002</v>
          </cell>
          <cell r="E16">
            <v>4200451.7958199997</v>
          </cell>
        </row>
      </sheetData>
      <sheetData sheetId="6">
        <row r="3">
          <cell r="C3">
            <v>367281416</v>
          </cell>
        </row>
      </sheetData>
      <sheetData sheetId="7">
        <row r="5">
          <cell r="D5">
            <v>21</v>
          </cell>
        </row>
      </sheetData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45297576.419</v>
          </cell>
          <cell r="E5">
            <v>162688669</v>
          </cell>
        </row>
        <row r="6">
          <cell r="B6">
            <v>51014350.903649993</v>
          </cell>
          <cell r="E6">
            <v>166294684</v>
          </cell>
        </row>
        <row r="7">
          <cell r="B7">
            <v>72634553.890019998</v>
          </cell>
          <cell r="E7">
            <v>150463031</v>
          </cell>
        </row>
        <row r="8">
          <cell r="B8">
            <v>93792033.930000007</v>
          </cell>
          <cell r="E8">
            <v>139232383</v>
          </cell>
        </row>
        <row r="9">
          <cell r="B9">
            <v>67495033.722000003</v>
          </cell>
          <cell r="E9">
            <v>137345710</v>
          </cell>
        </row>
        <row r="10">
          <cell r="B10">
            <v>77542662.090000004</v>
          </cell>
          <cell r="E10">
            <v>145377375</v>
          </cell>
        </row>
        <row r="11">
          <cell r="B11">
            <v>88549279.039999992</v>
          </cell>
          <cell r="E11">
            <v>157150625</v>
          </cell>
        </row>
        <row r="12">
          <cell r="B12">
            <v>82499204.879999995</v>
          </cell>
          <cell r="E12">
            <v>184252272</v>
          </cell>
        </row>
        <row r="13">
          <cell r="B13">
            <v>87085476.530000016</v>
          </cell>
          <cell r="E13">
            <v>165611292</v>
          </cell>
        </row>
        <row r="14">
          <cell r="B14">
            <v>111003655.81999999</v>
          </cell>
          <cell r="E14">
            <v>166799699</v>
          </cell>
        </row>
        <row r="15">
          <cell r="B15">
            <v>139733664.48000002</v>
          </cell>
          <cell r="E15">
            <v>182671641</v>
          </cell>
        </row>
        <row r="16">
          <cell r="B16">
            <v>127794876.74484999</v>
          </cell>
          <cell r="E16">
            <v>209278535</v>
          </cell>
        </row>
      </sheetData>
      <sheetData sheetId="6">
        <row r="3">
          <cell r="C3">
            <v>328284974</v>
          </cell>
        </row>
      </sheetData>
      <sheetData sheetId="7">
        <row r="5">
          <cell r="D5">
            <v>22</v>
          </cell>
        </row>
      </sheetData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58960023.300380006</v>
          </cell>
          <cell r="E5">
            <v>52054847.959380001</v>
          </cell>
        </row>
        <row r="6">
          <cell r="B6">
            <v>59814080.788379997</v>
          </cell>
          <cell r="E6">
            <v>49575898.959380001</v>
          </cell>
        </row>
        <row r="7">
          <cell r="B7">
            <v>57589147.919380002</v>
          </cell>
          <cell r="E7">
            <v>50285539.959380001</v>
          </cell>
        </row>
        <row r="8">
          <cell r="B8">
            <v>53606544.815380007</v>
          </cell>
          <cell r="E8">
            <v>50759532.959380001</v>
          </cell>
        </row>
        <row r="9">
          <cell r="B9">
            <v>62420348.766379997</v>
          </cell>
          <cell r="E9">
            <v>59350920.959380001</v>
          </cell>
        </row>
        <row r="10">
          <cell r="B10">
            <v>53216234.061379999</v>
          </cell>
          <cell r="E10">
            <v>55435005.959380001</v>
          </cell>
        </row>
        <row r="11">
          <cell r="B11">
            <v>52224114.442380004</v>
          </cell>
          <cell r="E11">
            <v>54297432.959380001</v>
          </cell>
        </row>
        <row r="12">
          <cell r="B12">
            <v>57662778.446380004</v>
          </cell>
          <cell r="E12">
            <v>64042472.959380001</v>
          </cell>
        </row>
        <row r="13">
          <cell r="B13">
            <v>57840228.690380007</v>
          </cell>
          <cell r="E13">
            <v>66764408.959380001</v>
          </cell>
        </row>
        <row r="14">
          <cell r="B14">
            <v>62486813.272380002</v>
          </cell>
          <cell r="E14">
            <v>74558957.959380001</v>
          </cell>
        </row>
        <row r="15">
          <cell r="B15">
            <v>61848086.14638</v>
          </cell>
          <cell r="E15">
            <v>66920269.959380001</v>
          </cell>
        </row>
        <row r="16">
          <cell r="B16">
            <v>65126412.523379996</v>
          </cell>
          <cell r="E16">
            <v>69252478.959380001</v>
          </cell>
        </row>
      </sheetData>
      <sheetData sheetId="6">
        <row r="3">
          <cell r="C3">
            <v>129400546</v>
          </cell>
        </row>
      </sheetData>
      <sheetData sheetId="7">
        <row r="5">
          <cell r="D5">
            <v>23</v>
          </cell>
        </row>
      </sheetData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11471642.59457</v>
          </cell>
          <cell r="E5">
            <v>14946750</v>
          </cell>
        </row>
        <row r="6">
          <cell r="B6">
            <v>13359712.92224</v>
          </cell>
          <cell r="E6">
            <v>14888551</v>
          </cell>
        </row>
        <row r="7">
          <cell r="B7">
            <v>13880258.090300001</v>
          </cell>
          <cell r="E7">
            <v>16620285</v>
          </cell>
        </row>
        <row r="8">
          <cell r="B8">
            <v>13301264.150940001</v>
          </cell>
          <cell r="E8">
            <v>17006862</v>
          </cell>
        </row>
        <row r="9">
          <cell r="B9">
            <v>11930029.49904</v>
          </cell>
          <cell r="E9">
            <v>17710439</v>
          </cell>
        </row>
        <row r="10">
          <cell r="B10">
            <v>13944224.614980001</v>
          </cell>
          <cell r="E10">
            <v>14662561</v>
          </cell>
        </row>
        <row r="11">
          <cell r="B11">
            <v>17526352.15918</v>
          </cell>
          <cell r="E11">
            <v>14404701</v>
          </cell>
        </row>
        <row r="12">
          <cell r="B12">
            <v>17369030.200399999</v>
          </cell>
          <cell r="E12">
            <v>16044258</v>
          </cell>
        </row>
        <row r="13">
          <cell r="B13">
            <v>17162973.54837</v>
          </cell>
          <cell r="E13">
            <v>16675682</v>
          </cell>
        </row>
        <row r="14">
          <cell r="B14">
            <v>16980886.2377</v>
          </cell>
          <cell r="E14">
            <v>16686049</v>
          </cell>
        </row>
        <row r="15">
          <cell r="B15">
            <v>14515337.09489</v>
          </cell>
          <cell r="E15">
            <v>15678429</v>
          </cell>
        </row>
        <row r="16">
          <cell r="B16">
            <v>13792553.710059999</v>
          </cell>
          <cell r="E16">
            <v>16987664</v>
          </cell>
        </row>
      </sheetData>
      <sheetData sheetId="6">
        <row r="3">
          <cell r="C3">
            <v>18672067</v>
          </cell>
        </row>
      </sheetData>
      <sheetData sheetId="7">
        <row r="5">
          <cell r="D5">
            <v>24</v>
          </cell>
        </row>
      </sheetData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25296089.879549999</v>
          </cell>
          <cell r="E5">
            <v>25296089.879549999</v>
          </cell>
        </row>
        <row r="6">
          <cell r="B6">
            <v>25425195.879549999</v>
          </cell>
          <cell r="E6">
            <v>25425195.879549999</v>
          </cell>
        </row>
        <row r="7">
          <cell r="B7">
            <v>24811000.879549999</v>
          </cell>
          <cell r="E7">
            <v>24811000.879549999</v>
          </cell>
        </row>
        <row r="8">
          <cell r="B8">
            <v>25537472.879549999</v>
          </cell>
          <cell r="E8">
            <v>25537472.879549999</v>
          </cell>
        </row>
        <row r="9">
          <cell r="B9">
            <v>24923618.879549999</v>
          </cell>
          <cell r="E9">
            <v>24923618.879549999</v>
          </cell>
        </row>
        <row r="10">
          <cell r="B10">
            <v>25547629.879549999</v>
          </cell>
          <cell r="E10">
            <v>25547629.879549999</v>
          </cell>
        </row>
        <row r="11">
          <cell r="B11">
            <v>29423432.879549999</v>
          </cell>
          <cell r="E11">
            <v>29423432.879549999</v>
          </cell>
        </row>
        <row r="12">
          <cell r="B12">
            <v>30173225.879549999</v>
          </cell>
          <cell r="E12">
            <v>30173225.879549999</v>
          </cell>
        </row>
        <row r="13">
          <cell r="B13">
            <v>34307375.879550003</v>
          </cell>
          <cell r="E13">
            <v>34307375.879550003</v>
          </cell>
        </row>
        <row r="14">
          <cell r="B14">
            <v>41930922.879550003</v>
          </cell>
          <cell r="E14">
            <v>41930922.879550003</v>
          </cell>
        </row>
        <row r="15">
          <cell r="B15">
            <v>37296453.879550003</v>
          </cell>
          <cell r="E15">
            <v>37296453.879550003</v>
          </cell>
        </row>
        <row r="16">
          <cell r="B16">
            <v>34814543.879550003</v>
          </cell>
          <cell r="E16">
            <v>34814543.879550003</v>
          </cell>
        </row>
      </sheetData>
      <sheetData sheetId="6">
        <row r="3">
          <cell r="C3">
            <v>54424807</v>
          </cell>
        </row>
      </sheetData>
      <sheetData sheetId="7">
        <row r="5">
          <cell r="D5">
            <v>25</v>
          </cell>
        </row>
      </sheetData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140264.98956000002</v>
          </cell>
          <cell r="E5">
            <v>276194</v>
          </cell>
        </row>
        <row r="6">
          <cell r="B6">
            <v>155308.87476000001</v>
          </cell>
          <cell r="E6">
            <v>328347</v>
          </cell>
        </row>
        <row r="7">
          <cell r="B7">
            <v>173689.79019999999</v>
          </cell>
          <cell r="E7">
            <v>301943</v>
          </cell>
        </row>
        <row r="8">
          <cell r="B8">
            <v>173138.75440000001</v>
          </cell>
          <cell r="E8">
            <v>366739</v>
          </cell>
        </row>
        <row r="9">
          <cell r="B9">
            <v>176265.60996</v>
          </cell>
          <cell r="E9">
            <v>372759</v>
          </cell>
        </row>
        <row r="10">
          <cell r="B10">
            <v>182202.37416000001</v>
          </cell>
          <cell r="E10">
            <v>339253</v>
          </cell>
        </row>
        <row r="11">
          <cell r="B11">
            <v>222099.87728000002</v>
          </cell>
          <cell r="E11">
            <v>387356</v>
          </cell>
        </row>
        <row r="12">
          <cell r="B12">
            <v>298038.60444000002</v>
          </cell>
          <cell r="E12">
            <v>432045</v>
          </cell>
        </row>
        <row r="13">
          <cell r="B13">
            <v>259997.87604</v>
          </cell>
          <cell r="E13">
            <v>400459</v>
          </cell>
        </row>
        <row r="14">
          <cell r="B14">
            <v>278938.92851999996</v>
          </cell>
          <cell r="E14">
            <v>411379</v>
          </cell>
        </row>
        <row r="15">
          <cell r="B15">
            <v>224883.63219999999</v>
          </cell>
          <cell r="E15">
            <v>391868</v>
          </cell>
        </row>
        <row r="16">
          <cell r="B16">
            <v>225272.38219999999</v>
          </cell>
          <cell r="E16">
            <v>409530</v>
          </cell>
        </row>
      </sheetData>
      <sheetData sheetId="6">
        <row r="3">
          <cell r="C3">
            <v>3700076</v>
          </cell>
        </row>
      </sheetData>
      <sheetData sheetId="7">
        <row r="5">
          <cell r="D5">
            <v>26</v>
          </cell>
        </row>
      </sheetData>
      <sheetData sheetId="8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45995918.564500004</v>
          </cell>
          <cell r="E5">
            <v>51359802</v>
          </cell>
        </row>
        <row r="6">
          <cell r="B6">
            <v>43673660.321099997</v>
          </cell>
          <cell r="E6">
            <v>51083086</v>
          </cell>
        </row>
        <row r="7">
          <cell r="B7">
            <v>43473551.552699998</v>
          </cell>
          <cell r="E7">
            <v>50272580</v>
          </cell>
        </row>
        <row r="8">
          <cell r="B8">
            <v>48074587.210699998</v>
          </cell>
          <cell r="E8">
            <v>57492423</v>
          </cell>
        </row>
        <row r="9">
          <cell r="B9">
            <v>48530842.000599995</v>
          </cell>
          <cell r="E9">
            <v>62643080</v>
          </cell>
        </row>
        <row r="10">
          <cell r="B10">
            <v>48802019.919299997</v>
          </cell>
          <cell r="E10">
            <v>61191219</v>
          </cell>
        </row>
        <row r="11">
          <cell r="B11">
            <v>49660004.877599999</v>
          </cell>
          <cell r="E11">
            <v>64966306</v>
          </cell>
        </row>
        <row r="12">
          <cell r="B12">
            <v>49310507.806600004</v>
          </cell>
          <cell r="E12">
            <v>67315059</v>
          </cell>
        </row>
        <row r="13">
          <cell r="B13">
            <v>50324257.676899999</v>
          </cell>
          <cell r="E13">
            <v>69202945</v>
          </cell>
        </row>
        <row r="14">
          <cell r="B14">
            <v>52464350.436000004</v>
          </cell>
          <cell r="E14">
            <v>70050694</v>
          </cell>
        </row>
        <row r="15">
          <cell r="B15">
            <v>54772796.671999998</v>
          </cell>
          <cell r="E15">
            <v>70158988</v>
          </cell>
        </row>
        <row r="16">
          <cell r="B16">
            <v>55503604.544299997</v>
          </cell>
          <cell r="E16">
            <v>73202338</v>
          </cell>
        </row>
      </sheetData>
      <sheetData sheetId="6">
        <row r="3">
          <cell r="C3">
            <v>25671630</v>
          </cell>
        </row>
      </sheetData>
      <sheetData sheetId="7">
        <row r="5">
          <cell r="D5">
            <v>27</v>
          </cell>
        </row>
      </sheetData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58691138.759999998</v>
          </cell>
          <cell r="E5">
            <v>77341571</v>
          </cell>
        </row>
        <row r="6">
          <cell r="B6">
            <v>61120142.560000002</v>
          </cell>
          <cell r="E6">
            <v>76364552</v>
          </cell>
        </row>
        <row r="7">
          <cell r="B7">
            <v>75996436.409999996</v>
          </cell>
          <cell r="E7">
            <v>76296784</v>
          </cell>
        </row>
        <row r="8">
          <cell r="B8">
            <v>69244726.48300001</v>
          </cell>
          <cell r="E8">
            <v>77931123</v>
          </cell>
        </row>
        <row r="9">
          <cell r="B9">
            <v>68327271.019999996</v>
          </cell>
          <cell r="E9">
            <v>77780949</v>
          </cell>
        </row>
        <row r="10">
          <cell r="B10">
            <v>72478351.600000009</v>
          </cell>
          <cell r="E10">
            <v>74797741</v>
          </cell>
        </row>
        <row r="11">
          <cell r="B11">
            <v>80227746.219999999</v>
          </cell>
          <cell r="E11">
            <v>78110741</v>
          </cell>
        </row>
        <row r="12">
          <cell r="B12">
            <v>80352164.670000002</v>
          </cell>
          <cell r="E12">
            <v>82631199</v>
          </cell>
        </row>
        <row r="13">
          <cell r="B13">
            <v>77745114.420000002</v>
          </cell>
          <cell r="E13">
            <v>85706344</v>
          </cell>
        </row>
        <row r="14">
          <cell r="B14">
            <v>75924266.569999993</v>
          </cell>
          <cell r="E14">
            <v>86143730</v>
          </cell>
        </row>
        <row r="15">
          <cell r="B15">
            <v>73888668.947000012</v>
          </cell>
          <cell r="E15">
            <v>80259006</v>
          </cell>
        </row>
        <row r="16">
          <cell r="B16">
            <v>71869717.262999997</v>
          </cell>
          <cell r="E16">
            <v>82151850</v>
          </cell>
        </row>
      </sheetData>
      <sheetData sheetId="6">
        <row r="3">
          <cell r="C3">
            <v>207799531</v>
          </cell>
        </row>
      </sheetData>
      <sheetData sheetId="7">
        <row r="5">
          <cell r="D5">
            <v>28</v>
          </cell>
        </row>
      </sheetData>
      <sheetData sheetId="8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13087782.502250001</v>
          </cell>
          <cell r="E5">
            <v>14965228</v>
          </cell>
        </row>
        <row r="6">
          <cell r="B6">
            <v>12799466.93065</v>
          </cell>
          <cell r="E6">
            <v>15933666</v>
          </cell>
        </row>
        <row r="7">
          <cell r="B7">
            <v>13139116.65745</v>
          </cell>
          <cell r="E7">
            <v>15587047</v>
          </cell>
        </row>
        <row r="8">
          <cell r="B8">
            <v>13134591.4431</v>
          </cell>
          <cell r="E8">
            <v>16433482</v>
          </cell>
        </row>
        <row r="9">
          <cell r="B9">
            <v>13060292.546499999</v>
          </cell>
          <cell r="E9">
            <v>15498182</v>
          </cell>
        </row>
        <row r="10">
          <cell r="B10">
            <v>13795642.62855</v>
          </cell>
          <cell r="E10">
            <v>15526361</v>
          </cell>
        </row>
        <row r="11">
          <cell r="B11">
            <v>16187454.07415</v>
          </cell>
          <cell r="E11">
            <v>17269371</v>
          </cell>
        </row>
        <row r="12">
          <cell r="B12">
            <v>16252967.5605</v>
          </cell>
          <cell r="E12">
            <v>18057787</v>
          </cell>
        </row>
        <row r="13">
          <cell r="B13">
            <v>17317322.327500001</v>
          </cell>
          <cell r="E13">
            <v>20695971</v>
          </cell>
        </row>
        <row r="14">
          <cell r="B14">
            <v>16644366.302999999</v>
          </cell>
          <cell r="E14">
            <v>20015922</v>
          </cell>
        </row>
        <row r="15">
          <cell r="B15">
            <v>15797543.2259</v>
          </cell>
          <cell r="E15">
            <v>19542359</v>
          </cell>
        </row>
        <row r="16">
          <cell r="B16">
            <v>15490843.395749999</v>
          </cell>
          <cell r="E16">
            <v>20016308</v>
          </cell>
        </row>
      </sheetData>
      <sheetData sheetId="6">
        <row r="3">
          <cell r="C3">
            <v>37468041</v>
          </cell>
        </row>
      </sheetData>
      <sheetData sheetId="7">
        <row r="5">
          <cell r="D5">
            <v>29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372003730.64609998</v>
          </cell>
          <cell r="E5">
            <v>358866331</v>
          </cell>
        </row>
        <row r="6">
          <cell r="B6">
            <v>360737813.30849999</v>
          </cell>
          <cell r="E6">
            <v>366496017</v>
          </cell>
        </row>
        <row r="7">
          <cell r="B7">
            <v>386604272.45640004</v>
          </cell>
          <cell r="E7">
            <v>365388329</v>
          </cell>
        </row>
        <row r="8">
          <cell r="B8">
            <v>382433611.95339996</v>
          </cell>
          <cell r="E8">
            <v>369812428</v>
          </cell>
        </row>
        <row r="9">
          <cell r="B9">
            <v>379873705.48070002</v>
          </cell>
          <cell r="E9">
            <v>375222069</v>
          </cell>
        </row>
        <row r="10">
          <cell r="B10">
            <v>379415836.65689999</v>
          </cell>
          <cell r="E10">
            <v>360319312</v>
          </cell>
        </row>
        <row r="11">
          <cell r="B11">
            <v>386714082.01910001</v>
          </cell>
          <cell r="E11">
            <v>375171307</v>
          </cell>
        </row>
        <row r="12">
          <cell r="B12">
            <v>396900613.60739994</v>
          </cell>
          <cell r="E12">
            <v>393120288</v>
          </cell>
        </row>
        <row r="13">
          <cell r="B13">
            <v>407551584.79049999</v>
          </cell>
          <cell r="E13">
            <v>414076922</v>
          </cell>
        </row>
        <row r="14">
          <cell r="B14">
            <v>385492367.2439</v>
          </cell>
          <cell r="E14">
            <v>407527533</v>
          </cell>
        </row>
        <row r="15">
          <cell r="B15">
            <v>356606132.04299998</v>
          </cell>
          <cell r="E15">
            <v>398281154</v>
          </cell>
        </row>
        <row r="16">
          <cell r="B16">
            <v>346426654.27529991</v>
          </cell>
          <cell r="E16">
            <v>415327607</v>
          </cell>
        </row>
      </sheetData>
      <sheetData sheetId="6">
        <row r="3">
          <cell r="C3">
            <v>282046695</v>
          </cell>
        </row>
      </sheetData>
      <sheetData sheetId="7">
        <row r="5">
          <cell r="D5">
            <v>3</v>
          </cell>
        </row>
      </sheetData>
      <sheetData sheetId="8"/>
      <sheetData sheetId="9"/>
      <sheetData sheetId="1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17048300.991870001</v>
          </cell>
          <cell r="E5">
            <v>17171092</v>
          </cell>
        </row>
        <row r="6">
          <cell r="B6">
            <v>17463185.978730001</v>
          </cell>
          <cell r="E6">
            <v>19074037</v>
          </cell>
        </row>
        <row r="7">
          <cell r="B7">
            <v>18440816.587790001</v>
          </cell>
          <cell r="E7">
            <v>18697465</v>
          </cell>
        </row>
        <row r="8">
          <cell r="B8">
            <v>20115376.133549999</v>
          </cell>
          <cell r="E8">
            <v>19854652</v>
          </cell>
        </row>
        <row r="9">
          <cell r="B9">
            <v>17897599.920060001</v>
          </cell>
          <cell r="E9">
            <v>18624858</v>
          </cell>
        </row>
        <row r="10">
          <cell r="B10">
            <v>18173641.67977</v>
          </cell>
          <cell r="E10">
            <v>18029827</v>
          </cell>
        </row>
        <row r="11">
          <cell r="B11">
            <v>20287022.750555001</v>
          </cell>
          <cell r="E11">
            <v>19038426</v>
          </cell>
        </row>
        <row r="12">
          <cell r="B12">
            <v>21099790.906994998</v>
          </cell>
          <cell r="E12">
            <v>20074481</v>
          </cell>
        </row>
        <row r="13">
          <cell r="B13">
            <v>23289939.24013</v>
          </cell>
          <cell r="E13">
            <v>22603389</v>
          </cell>
        </row>
        <row r="14">
          <cell r="B14">
            <v>23705218.322700001</v>
          </cell>
          <cell r="E14">
            <v>22619596</v>
          </cell>
        </row>
        <row r="15">
          <cell r="B15">
            <v>20635419.79188</v>
          </cell>
          <cell r="E15">
            <v>20497807</v>
          </cell>
        </row>
        <row r="16">
          <cell r="B16">
            <v>20537928.319200002</v>
          </cell>
          <cell r="E16">
            <v>20786896</v>
          </cell>
        </row>
      </sheetData>
      <sheetData sheetId="6">
        <row r="3">
          <cell r="C3">
            <v>11883923</v>
          </cell>
        </row>
      </sheetData>
      <sheetData sheetId="7">
        <row r="5">
          <cell r="D5">
            <v>30</v>
          </cell>
        </row>
      </sheetData>
      <sheetData sheetId="8"/>
      <sheetData sheetId="9"/>
      <sheetData sheetId="1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22412083.428199999</v>
          </cell>
          <cell r="E5">
            <v>31897486</v>
          </cell>
        </row>
        <row r="6">
          <cell r="B6">
            <v>24463923.232759997</v>
          </cell>
          <cell r="E6">
            <v>32805083</v>
          </cell>
        </row>
        <row r="7">
          <cell r="B7">
            <v>28745679.141900003</v>
          </cell>
          <cell r="E7">
            <v>32818846</v>
          </cell>
        </row>
        <row r="8">
          <cell r="B8">
            <v>32034853.268800002</v>
          </cell>
          <cell r="E8">
            <v>37243123</v>
          </cell>
        </row>
        <row r="9">
          <cell r="B9">
            <v>29749592.651800003</v>
          </cell>
          <cell r="E9">
            <v>36964297</v>
          </cell>
        </row>
        <row r="10">
          <cell r="B10">
            <v>33041377.3277</v>
          </cell>
          <cell r="E10">
            <v>36708328</v>
          </cell>
        </row>
        <row r="11">
          <cell r="B11">
            <v>36669989.318700001</v>
          </cell>
          <cell r="E11">
            <v>39083385</v>
          </cell>
        </row>
        <row r="12">
          <cell r="B12">
            <v>37855831.282600001</v>
          </cell>
          <cell r="E12">
            <v>46548042</v>
          </cell>
        </row>
        <row r="13">
          <cell r="B13">
            <v>42016099.393999994</v>
          </cell>
          <cell r="E13">
            <v>52598150</v>
          </cell>
        </row>
        <row r="14">
          <cell r="B14">
            <v>44452818.928499997</v>
          </cell>
          <cell r="E14">
            <v>49426862</v>
          </cell>
        </row>
        <row r="15">
          <cell r="B15">
            <v>42129203.153200001</v>
          </cell>
          <cell r="E15">
            <v>49945457</v>
          </cell>
        </row>
        <row r="16">
          <cell r="B16">
            <v>40224083.851500005</v>
          </cell>
          <cell r="E16">
            <v>50762936</v>
          </cell>
        </row>
      </sheetData>
      <sheetData sheetId="6">
        <row r="3">
          <cell r="C3">
            <v>30284052</v>
          </cell>
        </row>
      </sheetData>
      <sheetData sheetId="7">
        <row r="5">
          <cell r="D5">
            <v>31</v>
          </cell>
        </row>
      </sheetData>
      <sheetData sheetId="8"/>
      <sheetData sheetId="9"/>
      <sheetData sheetId="1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8276633.6061999993</v>
          </cell>
          <cell r="E5">
            <v>7974676.7199999997</v>
          </cell>
        </row>
        <row r="6">
          <cell r="B6">
            <v>7768016.8330300003</v>
          </cell>
          <cell r="E6">
            <v>7736083.2800000003</v>
          </cell>
        </row>
        <row r="7">
          <cell r="B7">
            <v>7577777.7284600008</v>
          </cell>
          <cell r="E7">
            <v>8139914.4800000004</v>
          </cell>
        </row>
        <row r="8">
          <cell r="B8">
            <v>7354819.2774499999</v>
          </cell>
          <cell r="E8">
            <v>8291968.0800000001</v>
          </cell>
        </row>
        <row r="9">
          <cell r="B9">
            <v>7521611.8404300008</v>
          </cell>
          <cell r="E9">
            <v>8752615</v>
          </cell>
        </row>
        <row r="10">
          <cell r="B10">
            <v>7703640.9419600004</v>
          </cell>
          <cell r="E10">
            <v>8498076.3599999994</v>
          </cell>
        </row>
        <row r="11">
          <cell r="B11">
            <v>8411837.0798600018</v>
          </cell>
          <cell r="E11">
            <v>8490739.4000000004</v>
          </cell>
        </row>
        <row r="12">
          <cell r="B12">
            <v>7850666.66175</v>
          </cell>
          <cell r="E12">
            <v>8842756.5199999996</v>
          </cell>
        </row>
        <row r="13">
          <cell r="B13">
            <v>8710525.9232100006</v>
          </cell>
          <cell r="E13">
            <v>9103834.8000000007</v>
          </cell>
        </row>
        <row r="14">
          <cell r="B14">
            <v>8663888.2362500001</v>
          </cell>
          <cell r="E14">
            <v>9547307.6799999997</v>
          </cell>
        </row>
        <row r="15">
          <cell r="B15">
            <v>7198188.9856999991</v>
          </cell>
          <cell r="E15">
            <v>9081916.8000000007</v>
          </cell>
        </row>
        <row r="16">
          <cell r="B16">
            <v>7479746.7895</v>
          </cell>
          <cell r="E16">
            <v>9186804.7599999998</v>
          </cell>
        </row>
      </sheetData>
      <sheetData sheetId="6">
        <row r="3">
          <cell r="C3">
            <v>7695623</v>
          </cell>
        </row>
      </sheetData>
      <sheetData sheetId="7">
        <row r="5">
          <cell r="D5">
            <v>32</v>
          </cell>
        </row>
      </sheetData>
      <sheetData sheetId="8"/>
      <sheetData sheetId="9"/>
      <sheetData sheetId="1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87003729.998710006</v>
          </cell>
          <cell r="E5">
            <v>99536768.079999998</v>
          </cell>
        </row>
        <row r="6">
          <cell r="B6">
            <v>87000344.166879997</v>
          </cell>
          <cell r="E6">
            <v>99624966.079999998</v>
          </cell>
        </row>
        <row r="7">
          <cell r="B7">
            <v>87032579.675820008</v>
          </cell>
          <cell r="E7">
            <v>99581436.079999998</v>
          </cell>
        </row>
        <row r="8">
          <cell r="B8">
            <v>87025268.349610001</v>
          </cell>
          <cell r="E8">
            <v>99568608.079999998</v>
          </cell>
        </row>
        <row r="9">
          <cell r="B9">
            <v>88070395.882829994</v>
          </cell>
          <cell r="E9">
            <v>99607036.079999998</v>
          </cell>
        </row>
        <row r="10">
          <cell r="B10">
            <v>88106839.183280006</v>
          </cell>
          <cell r="E10">
            <v>99579455.079999998</v>
          </cell>
        </row>
        <row r="11">
          <cell r="B11">
            <v>94385096.783099994</v>
          </cell>
          <cell r="E11">
            <v>99649937.079999998</v>
          </cell>
        </row>
        <row r="12">
          <cell r="B12">
            <v>94366369.650010005</v>
          </cell>
          <cell r="E12">
            <v>99724271.079999998</v>
          </cell>
        </row>
        <row r="13">
          <cell r="B13">
            <v>99585131.155599996</v>
          </cell>
          <cell r="E13">
            <v>99744519.079999998</v>
          </cell>
        </row>
        <row r="14">
          <cell r="B14">
            <v>99548146.354200006</v>
          </cell>
          <cell r="E14">
            <v>99650689.079999998</v>
          </cell>
        </row>
        <row r="15">
          <cell r="B15">
            <v>99516475.844039991</v>
          </cell>
          <cell r="E15">
            <v>99599388.079999998</v>
          </cell>
        </row>
        <row r="16">
          <cell r="B16">
            <v>99524337.132272005</v>
          </cell>
          <cell r="E16">
            <v>99584052.079999998</v>
          </cell>
        </row>
      </sheetData>
      <sheetData sheetId="6">
        <row r="3">
          <cell r="C3">
            <v>616371</v>
          </cell>
        </row>
      </sheetData>
      <sheetData sheetId="7">
        <row r="5">
          <cell r="D5">
            <v>33</v>
          </cell>
        </row>
      </sheetData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19307472.244380001</v>
          </cell>
          <cell r="E5">
            <v>15775137.697280001</v>
          </cell>
        </row>
        <row r="6">
          <cell r="B6">
            <v>20158395.341680001</v>
          </cell>
          <cell r="E6">
            <v>15685013.697280001</v>
          </cell>
        </row>
        <row r="7">
          <cell r="B7">
            <v>20378713.47848</v>
          </cell>
          <cell r="E7">
            <v>15210549.697280001</v>
          </cell>
        </row>
        <row r="8">
          <cell r="B8">
            <v>19368170.23158</v>
          </cell>
          <cell r="E8">
            <v>13547091.697280001</v>
          </cell>
        </row>
        <row r="9">
          <cell r="B9">
            <v>19641258.579579998</v>
          </cell>
          <cell r="E9">
            <v>14311228.697280001</v>
          </cell>
        </row>
        <row r="10">
          <cell r="B10">
            <v>19550093.945980001</v>
          </cell>
          <cell r="E10">
            <v>13640494.697280001</v>
          </cell>
        </row>
        <row r="11">
          <cell r="B11">
            <v>20241567.762479998</v>
          </cell>
          <cell r="E11">
            <v>14502904.697280001</v>
          </cell>
        </row>
        <row r="12">
          <cell r="B12">
            <v>19777454.88848</v>
          </cell>
          <cell r="E12">
            <v>16591547.697280001</v>
          </cell>
        </row>
        <row r="13">
          <cell r="B13">
            <v>21582496.675579999</v>
          </cell>
          <cell r="E13">
            <v>16974440.697280001</v>
          </cell>
        </row>
        <row r="14">
          <cell r="B14">
            <v>23646129.583279997</v>
          </cell>
          <cell r="E14">
            <v>15051243.697280001</v>
          </cell>
        </row>
        <row r="15">
          <cell r="B15">
            <v>24767092.801879998</v>
          </cell>
          <cell r="E15">
            <v>14682346.697280001</v>
          </cell>
        </row>
        <row r="16">
          <cell r="B16">
            <v>24701471.89178</v>
          </cell>
          <cell r="E16">
            <v>18229442.697280001</v>
          </cell>
        </row>
      </sheetData>
      <sheetData sheetId="6">
        <row r="3">
          <cell r="C3">
            <v>44578081</v>
          </cell>
        </row>
      </sheetData>
      <sheetData sheetId="7">
        <row r="5">
          <cell r="D5">
            <v>34</v>
          </cell>
        </row>
      </sheetData>
      <sheetData sheetId="8"/>
      <sheetData sheetId="9"/>
      <sheetData sheetId="1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154561496.96884999</v>
          </cell>
          <cell r="E5">
            <v>159360028.93000001</v>
          </cell>
        </row>
        <row r="6">
          <cell r="B6">
            <v>154567332.01121998</v>
          </cell>
          <cell r="E6">
            <v>160000701.93000001</v>
          </cell>
        </row>
        <row r="7">
          <cell r="B7">
            <v>156107687.41170001</v>
          </cell>
          <cell r="E7">
            <v>159994279.93000001</v>
          </cell>
        </row>
        <row r="8">
          <cell r="B8">
            <v>156109950.76050001</v>
          </cell>
          <cell r="E8">
            <v>160875631.93000001</v>
          </cell>
        </row>
        <row r="9">
          <cell r="B9">
            <v>153525625.89276999</v>
          </cell>
          <cell r="E9">
            <v>161618919.93000001</v>
          </cell>
        </row>
        <row r="10">
          <cell r="B10">
            <v>154090938.11500001</v>
          </cell>
          <cell r="E10">
            <v>161996292.93000001</v>
          </cell>
        </row>
        <row r="11">
          <cell r="B11">
            <v>158207216.60163996</v>
          </cell>
          <cell r="E11">
            <v>162753254.93000001</v>
          </cell>
        </row>
        <row r="12">
          <cell r="B12">
            <v>158247648.07788</v>
          </cell>
          <cell r="E12">
            <v>164919384.93000001</v>
          </cell>
        </row>
        <row r="13">
          <cell r="B13">
            <v>158825937.29719999</v>
          </cell>
          <cell r="E13">
            <v>166866862.93000001</v>
          </cell>
        </row>
        <row r="14">
          <cell r="B14">
            <v>158945647.81283998</v>
          </cell>
          <cell r="E14">
            <v>167926259.93000001</v>
          </cell>
        </row>
        <row r="15">
          <cell r="B15">
            <v>158680896.63056004</v>
          </cell>
          <cell r="E15">
            <v>166498667.93000001</v>
          </cell>
        </row>
        <row r="16">
          <cell r="B16">
            <v>158536479.38684002</v>
          </cell>
          <cell r="E16">
            <v>167254672.93000001</v>
          </cell>
        </row>
      </sheetData>
      <sheetData sheetId="6">
        <row r="3">
          <cell r="C3">
            <v>18366516</v>
          </cell>
        </row>
      </sheetData>
      <sheetData sheetId="7">
        <row r="5">
          <cell r="D5">
            <v>35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7555528.5629999992</v>
          </cell>
          <cell r="E5">
            <v>8321865.04</v>
          </cell>
        </row>
        <row r="6">
          <cell r="B6">
            <v>7436035.6060000006</v>
          </cell>
          <cell r="E6">
            <v>8987972.0399999991</v>
          </cell>
        </row>
        <row r="7">
          <cell r="B7">
            <v>7594167.5037500001</v>
          </cell>
          <cell r="E7">
            <v>10039226</v>
          </cell>
        </row>
        <row r="8">
          <cell r="B8">
            <v>7343364.5390300006</v>
          </cell>
          <cell r="E8">
            <v>10018708</v>
          </cell>
        </row>
        <row r="9">
          <cell r="B9">
            <v>7259370.6321299998</v>
          </cell>
          <cell r="E9">
            <v>9445165</v>
          </cell>
        </row>
        <row r="10">
          <cell r="B10">
            <v>6951055.0825000005</v>
          </cell>
          <cell r="E10">
            <v>9924151</v>
          </cell>
        </row>
        <row r="11">
          <cell r="B11">
            <v>8446274.9037500005</v>
          </cell>
          <cell r="E11">
            <v>9723079</v>
          </cell>
        </row>
        <row r="12">
          <cell r="B12">
            <v>8210227.69625</v>
          </cell>
          <cell r="E12">
            <v>11275491</v>
          </cell>
        </row>
        <row r="13">
          <cell r="B13">
            <v>8012160.7862500008</v>
          </cell>
          <cell r="E13">
            <v>12150457</v>
          </cell>
        </row>
        <row r="14">
          <cell r="B14">
            <v>7577720.1837499999</v>
          </cell>
          <cell r="E14">
            <v>12341732</v>
          </cell>
        </row>
        <row r="15">
          <cell r="B15">
            <v>6756280.2349999994</v>
          </cell>
          <cell r="E15">
            <v>12215669</v>
          </cell>
        </row>
        <row r="16">
          <cell r="B16">
            <v>6730286.6601300007</v>
          </cell>
          <cell r="E16">
            <v>12801371</v>
          </cell>
        </row>
      </sheetData>
      <sheetData sheetId="6">
        <row r="3">
          <cell r="C3">
            <v>23110377</v>
          </cell>
        </row>
      </sheetData>
      <sheetData sheetId="7">
        <row r="5">
          <cell r="D5">
            <v>4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8820550.3200000003</v>
          </cell>
          <cell r="E5">
            <v>10827569</v>
          </cell>
        </row>
        <row r="6">
          <cell r="B6">
            <v>9587103.5600000005</v>
          </cell>
          <cell r="E6">
            <v>11663469</v>
          </cell>
        </row>
        <row r="7">
          <cell r="B7">
            <v>9776950.495000001</v>
          </cell>
          <cell r="E7">
            <v>12854205</v>
          </cell>
        </row>
        <row r="8">
          <cell r="B8">
            <v>9906584.7899999991</v>
          </cell>
          <cell r="E8">
            <v>14443620</v>
          </cell>
        </row>
        <row r="9">
          <cell r="B9">
            <v>9985379.4900000002</v>
          </cell>
          <cell r="E9">
            <v>14349094</v>
          </cell>
        </row>
        <row r="10">
          <cell r="B10">
            <v>10072951.210000001</v>
          </cell>
          <cell r="E10">
            <v>14984080</v>
          </cell>
        </row>
        <row r="11">
          <cell r="B11">
            <v>10625134.640000001</v>
          </cell>
          <cell r="E11">
            <v>16845781</v>
          </cell>
        </row>
        <row r="12">
          <cell r="B12">
            <v>10860337.879999999</v>
          </cell>
          <cell r="E12">
            <v>16469883</v>
          </cell>
        </row>
        <row r="13">
          <cell r="B13">
            <v>10513326</v>
          </cell>
          <cell r="E13">
            <v>16638805</v>
          </cell>
        </row>
        <row r="14">
          <cell r="B14">
            <v>10900228.800000001</v>
          </cell>
          <cell r="E14">
            <v>18603958</v>
          </cell>
        </row>
        <row r="15">
          <cell r="B15">
            <v>10068266.77</v>
          </cell>
          <cell r="E15">
            <v>17487808</v>
          </cell>
        </row>
        <row r="16">
          <cell r="B16">
            <v>10129912.33</v>
          </cell>
          <cell r="E16">
            <v>18806022</v>
          </cell>
        </row>
      </sheetData>
      <sheetData sheetId="6">
        <row r="3">
          <cell r="C3">
            <v>8771600</v>
          </cell>
        </row>
      </sheetData>
      <sheetData sheetId="7">
        <row r="5">
          <cell r="D5">
            <v>5</v>
          </cell>
        </row>
      </sheetData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779758.15</v>
          </cell>
          <cell r="E5">
            <v>871725</v>
          </cell>
        </row>
        <row r="6">
          <cell r="B6">
            <v>826752.82999999984</v>
          </cell>
          <cell r="E6">
            <v>874280</v>
          </cell>
        </row>
        <row r="7">
          <cell r="B7">
            <v>836926.14999999991</v>
          </cell>
          <cell r="E7">
            <v>880651</v>
          </cell>
        </row>
        <row r="8">
          <cell r="B8">
            <v>861094.48179000011</v>
          </cell>
          <cell r="E8">
            <v>884101</v>
          </cell>
        </row>
        <row r="9">
          <cell r="B9">
            <v>832946.83000000007</v>
          </cell>
          <cell r="E9">
            <v>963207</v>
          </cell>
        </row>
        <row r="10">
          <cell r="B10">
            <v>812292.03</v>
          </cell>
          <cell r="E10">
            <v>903887</v>
          </cell>
        </row>
        <row r="11">
          <cell r="B11">
            <v>888673.52</v>
          </cell>
          <cell r="E11">
            <v>1041979</v>
          </cell>
        </row>
        <row r="12">
          <cell r="B12">
            <v>945320.14</v>
          </cell>
          <cell r="E12">
            <v>1082411</v>
          </cell>
        </row>
        <row r="13">
          <cell r="B13">
            <v>876096.28999999992</v>
          </cell>
          <cell r="E13">
            <v>1273385</v>
          </cell>
        </row>
        <row r="14">
          <cell r="B14">
            <v>844586.74</v>
          </cell>
          <cell r="E14">
            <v>1370759</v>
          </cell>
        </row>
        <row r="15">
          <cell r="B15">
            <v>790744.39999999991</v>
          </cell>
          <cell r="E15">
            <v>1316067</v>
          </cell>
        </row>
        <row r="16">
          <cell r="B16">
            <v>748312.36999999988</v>
          </cell>
          <cell r="E16">
            <v>1307669</v>
          </cell>
        </row>
      </sheetData>
      <sheetData sheetId="6">
        <row r="3">
          <cell r="C3">
            <v>2443837</v>
          </cell>
        </row>
      </sheetData>
      <sheetData sheetId="7">
        <row r="5">
          <cell r="D5">
            <v>6</v>
          </cell>
        </row>
      </sheetData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83648764.986650005</v>
          </cell>
          <cell r="E5">
            <v>109638200</v>
          </cell>
        </row>
        <row r="6">
          <cell r="B6">
            <v>88925399.456900015</v>
          </cell>
          <cell r="E6">
            <v>119404521</v>
          </cell>
        </row>
        <row r="7">
          <cell r="B7">
            <v>96677140.549800009</v>
          </cell>
          <cell r="E7">
            <v>123044952</v>
          </cell>
        </row>
        <row r="8">
          <cell r="B8">
            <v>98329305.461639985</v>
          </cell>
          <cell r="E8">
            <v>131508462</v>
          </cell>
        </row>
        <row r="9">
          <cell r="B9">
            <v>94797963.051300004</v>
          </cell>
          <cell r="E9">
            <v>130004222</v>
          </cell>
        </row>
        <row r="10">
          <cell r="B10">
            <v>90145685.683019996</v>
          </cell>
          <cell r="E10">
            <v>126857294</v>
          </cell>
        </row>
        <row r="11">
          <cell r="B11">
            <v>98256390.371049985</v>
          </cell>
          <cell r="E11">
            <v>136485296</v>
          </cell>
        </row>
        <row r="12">
          <cell r="B12">
            <v>97393452.073259979</v>
          </cell>
          <cell r="E12">
            <v>148565616</v>
          </cell>
        </row>
        <row r="13">
          <cell r="B13">
            <v>99410738.656709999</v>
          </cell>
          <cell r="E13">
            <v>164373583</v>
          </cell>
        </row>
        <row r="14">
          <cell r="B14">
            <v>102254860.40790001</v>
          </cell>
          <cell r="E14">
            <v>159454232</v>
          </cell>
        </row>
        <row r="15">
          <cell r="B15">
            <v>97272282.515200004</v>
          </cell>
          <cell r="E15">
            <v>146913547</v>
          </cell>
        </row>
        <row r="16">
          <cell r="B16">
            <v>98238850.534150004</v>
          </cell>
          <cell r="E16">
            <v>162858547</v>
          </cell>
        </row>
      </sheetData>
      <sheetData sheetId="6">
        <row r="3">
          <cell r="C3">
            <v>856564640</v>
          </cell>
        </row>
      </sheetData>
      <sheetData sheetId="7">
        <row r="5">
          <cell r="D5">
            <v>7</v>
          </cell>
        </row>
      </sheetData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32635382.526000001</v>
          </cell>
          <cell r="E5">
            <v>49059972.759999998</v>
          </cell>
        </row>
        <row r="6">
          <cell r="B6">
            <v>32324177.144000001</v>
          </cell>
          <cell r="E6">
            <v>55103945.759999998</v>
          </cell>
        </row>
        <row r="7">
          <cell r="B7">
            <v>38314520.458000004</v>
          </cell>
          <cell r="E7">
            <v>55842363.439999998</v>
          </cell>
        </row>
        <row r="8">
          <cell r="B8">
            <v>43038316.1708</v>
          </cell>
          <cell r="E8">
            <v>56778499.993600003</v>
          </cell>
        </row>
        <row r="9">
          <cell r="B9">
            <v>41663664.840000004</v>
          </cell>
          <cell r="E9">
            <v>54222658.439999998</v>
          </cell>
        </row>
        <row r="10">
          <cell r="B10">
            <v>44958387.480000004</v>
          </cell>
          <cell r="E10">
            <v>56137780.439999998</v>
          </cell>
        </row>
        <row r="11">
          <cell r="B11">
            <v>49479360.755999997</v>
          </cell>
          <cell r="E11">
            <v>58340539.439999998</v>
          </cell>
        </row>
        <row r="12">
          <cell r="B12">
            <v>46594124.131999992</v>
          </cell>
          <cell r="E12">
            <v>60810924.439999998</v>
          </cell>
        </row>
        <row r="13">
          <cell r="B13">
            <v>46564061.188000008</v>
          </cell>
          <cell r="E13">
            <v>61129997.439999998</v>
          </cell>
        </row>
        <row r="14">
          <cell r="B14">
            <v>47604453.999999993</v>
          </cell>
          <cell r="E14">
            <v>62813119.439999998</v>
          </cell>
        </row>
        <row r="15">
          <cell r="B15">
            <v>41034530.392000005</v>
          </cell>
          <cell r="E15">
            <v>58080138.439999998</v>
          </cell>
        </row>
        <row r="16">
          <cell r="B16">
            <v>43333117.991999999</v>
          </cell>
          <cell r="E16">
            <v>60543065.439999998</v>
          </cell>
        </row>
      </sheetData>
      <sheetData sheetId="6">
        <row r="3">
          <cell r="C3">
            <v>72278397</v>
          </cell>
        </row>
      </sheetData>
      <sheetData sheetId="7">
        <row r="5">
          <cell r="D5">
            <v>8</v>
          </cell>
        </row>
      </sheetData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  <sheetName val="QTDE DE AÇÕES"/>
      <sheetName val="Demonstrativos Padrões"/>
      <sheetName val="INDICADORES FINANCEIROS"/>
      <sheetName val="NOPAT AMPLO RESTRITO"/>
      <sheetName val="Demonstrativos Gerenciais SITE"/>
      <sheetName val="Representação Gráfica SITE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17691926.381840002</v>
          </cell>
          <cell r="E5">
            <v>24019803.259999998</v>
          </cell>
        </row>
        <row r="6">
          <cell r="B6">
            <v>18257594.361930002</v>
          </cell>
          <cell r="E6">
            <v>24895550.259999998</v>
          </cell>
        </row>
        <row r="7">
          <cell r="B7">
            <v>19936916.472310003</v>
          </cell>
          <cell r="E7">
            <v>24276271</v>
          </cell>
        </row>
        <row r="8">
          <cell r="B8">
            <v>19362452.934959996</v>
          </cell>
          <cell r="E8">
            <v>24882356</v>
          </cell>
        </row>
        <row r="9">
          <cell r="B9">
            <v>17331599.792969998</v>
          </cell>
          <cell r="E9">
            <v>21843067</v>
          </cell>
        </row>
        <row r="10">
          <cell r="B10">
            <v>16476400.862110002</v>
          </cell>
          <cell r="E10">
            <v>21962199</v>
          </cell>
        </row>
        <row r="11">
          <cell r="B11">
            <v>15809435.215500003</v>
          </cell>
          <cell r="E11">
            <v>23672574</v>
          </cell>
        </row>
        <row r="12">
          <cell r="B12">
            <v>14045713.205730001</v>
          </cell>
          <cell r="E12">
            <v>24175396</v>
          </cell>
        </row>
        <row r="13">
          <cell r="B13">
            <v>13399329.330870001</v>
          </cell>
          <cell r="E13">
            <v>25346007</v>
          </cell>
        </row>
        <row r="14">
          <cell r="B14">
            <v>14679917.43605</v>
          </cell>
          <cell r="E14">
            <v>24394603</v>
          </cell>
        </row>
        <row r="15">
          <cell r="B15">
            <v>13839273.15432</v>
          </cell>
          <cell r="E15">
            <v>24287008</v>
          </cell>
        </row>
        <row r="16">
          <cell r="B16">
            <v>13901459.705793001</v>
          </cell>
          <cell r="E16">
            <v>26133033</v>
          </cell>
        </row>
      </sheetData>
      <sheetData sheetId="6">
        <row r="3">
          <cell r="C3">
            <v>64004836</v>
          </cell>
        </row>
      </sheetData>
      <sheetData sheetId="7">
        <row r="5">
          <cell r="D5">
            <v>9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workbookViewId="0">
      <selection activeCell="E1" sqref="C1:E1"/>
    </sheetView>
  </sheetViews>
  <sheetFormatPr defaultRowHeight="15" x14ac:dyDescent="0.25"/>
  <cols>
    <col min="1" max="1" width="16.28515625" customWidth="1"/>
    <col min="2" max="2" width="45.28515625" bestFit="1" customWidth="1"/>
    <col min="3" max="5" width="10.42578125" bestFit="1" customWidth="1"/>
  </cols>
  <sheetData>
    <row r="1" spans="1:7" ht="17.25" thickBot="1" x14ac:dyDescent="0.4">
      <c r="A1" s="263" t="s">
        <v>230</v>
      </c>
      <c r="B1" s="263" t="s">
        <v>231</v>
      </c>
      <c r="C1" s="1">
        <v>41639</v>
      </c>
      <c r="D1" s="1">
        <v>41274</v>
      </c>
      <c r="E1" s="1">
        <v>40908</v>
      </c>
    </row>
    <row r="2" spans="1:7" ht="15.75" thickBot="1" x14ac:dyDescent="0.3">
      <c r="A2" s="258"/>
      <c r="B2" s="259"/>
      <c r="C2" s="261"/>
      <c r="D2" s="261"/>
      <c r="E2" s="261"/>
    </row>
    <row r="3" spans="1:7" ht="15.75" thickBot="1" x14ac:dyDescent="0.3">
      <c r="A3" s="258"/>
      <c r="B3" s="259"/>
      <c r="C3" s="261"/>
      <c r="D3" s="261"/>
      <c r="E3" s="261"/>
    </row>
    <row r="4" spans="1:7" ht="15.75" thickBot="1" x14ac:dyDescent="0.3">
      <c r="A4" s="258"/>
      <c r="B4" s="259"/>
      <c r="C4" s="261"/>
      <c r="D4" s="261"/>
      <c r="E4" s="261"/>
    </row>
    <row r="5" spans="1:7" ht="15.75" thickBot="1" x14ac:dyDescent="0.3">
      <c r="A5" s="258"/>
      <c r="B5" s="259"/>
      <c r="C5" s="261"/>
      <c r="D5" s="261"/>
      <c r="E5" s="261"/>
      <c r="G5" s="249"/>
    </row>
    <row r="6" spans="1:7" ht="15.75" thickBot="1" x14ac:dyDescent="0.3">
      <c r="A6" s="258"/>
      <c r="B6" s="259"/>
      <c r="C6" s="261"/>
      <c r="D6" s="261"/>
      <c r="E6" s="261"/>
      <c r="G6" s="249"/>
    </row>
    <row r="7" spans="1:7" ht="15.75" thickBot="1" x14ac:dyDescent="0.3">
      <c r="A7" s="258"/>
      <c r="B7" s="259"/>
      <c r="C7" s="260"/>
      <c r="D7" s="260"/>
      <c r="E7" s="260"/>
      <c r="G7" s="249"/>
    </row>
    <row r="8" spans="1:7" ht="15.75" thickBot="1" x14ac:dyDescent="0.3">
      <c r="A8" s="258"/>
      <c r="B8" s="259"/>
      <c r="C8" s="260"/>
      <c r="D8" s="260"/>
      <c r="E8" s="260"/>
      <c r="G8" s="249"/>
    </row>
    <row r="9" spans="1:7" ht="15.75" thickBot="1" x14ac:dyDescent="0.3">
      <c r="A9" s="258"/>
      <c r="B9" s="259"/>
      <c r="C9" s="260"/>
      <c r="D9" s="260"/>
      <c r="E9" s="260"/>
    </row>
    <row r="10" spans="1:7" ht="15.75" thickBot="1" x14ac:dyDescent="0.3">
      <c r="A10" s="258"/>
      <c r="B10" s="259"/>
      <c r="C10" s="260"/>
      <c r="D10" s="260"/>
      <c r="E10" s="260"/>
      <c r="G10" s="249"/>
    </row>
    <row r="11" spans="1:7" ht="15.75" thickBot="1" x14ac:dyDescent="0.3">
      <c r="A11" s="258"/>
      <c r="B11" s="259"/>
      <c r="C11" s="261"/>
      <c r="D11" s="261"/>
      <c r="E11" s="261"/>
    </row>
    <row r="12" spans="1:7" ht="15.75" thickBot="1" x14ac:dyDescent="0.3">
      <c r="A12" s="258"/>
      <c r="B12" s="259"/>
      <c r="C12" s="260"/>
      <c r="D12" s="260"/>
      <c r="E12" s="260"/>
    </row>
    <row r="13" spans="1:7" ht="15.75" thickBot="1" x14ac:dyDescent="0.3">
      <c r="A13" s="258"/>
      <c r="B13" s="259"/>
      <c r="C13" s="260"/>
      <c r="D13" s="260"/>
      <c r="E13" s="260"/>
    </row>
    <row r="14" spans="1:7" ht="15.75" thickBot="1" x14ac:dyDescent="0.3">
      <c r="A14" s="258"/>
      <c r="B14" s="259"/>
      <c r="C14" s="261"/>
      <c r="D14" s="261"/>
      <c r="E14" s="261"/>
    </row>
    <row r="15" spans="1:7" ht="15.75" thickBot="1" x14ac:dyDescent="0.3">
      <c r="A15" s="258"/>
      <c r="B15" s="259"/>
      <c r="C15" s="260"/>
      <c r="D15" s="260"/>
      <c r="E15" s="260"/>
    </row>
    <row r="16" spans="1:7" ht="15.75" thickBot="1" x14ac:dyDescent="0.3">
      <c r="A16" s="258"/>
      <c r="B16" s="259"/>
      <c r="C16" s="261"/>
      <c r="D16" s="261"/>
      <c r="E16" s="261"/>
    </row>
    <row r="17" spans="1:5" ht="15.75" thickBot="1" x14ac:dyDescent="0.3">
      <c r="A17" s="258"/>
      <c r="B17" s="259"/>
      <c r="C17" s="260"/>
      <c r="D17" s="260"/>
      <c r="E17" s="260"/>
    </row>
    <row r="18" spans="1:5" ht="15.75" thickBot="1" x14ac:dyDescent="0.3">
      <c r="A18" s="258"/>
      <c r="B18" s="259"/>
      <c r="C18" s="260"/>
      <c r="D18" s="260"/>
      <c r="E18" s="260"/>
    </row>
    <row r="19" spans="1:5" ht="15.75" thickBot="1" x14ac:dyDescent="0.3">
      <c r="A19" s="258"/>
      <c r="B19" s="259"/>
      <c r="C19" s="261"/>
      <c r="D19" s="261"/>
      <c r="E19" s="261"/>
    </row>
    <row r="20" spans="1:5" ht="15.75" thickBot="1" x14ac:dyDescent="0.3">
      <c r="A20" s="258"/>
      <c r="B20" s="259"/>
      <c r="C20" s="260"/>
      <c r="D20" s="260"/>
      <c r="E20" s="260"/>
    </row>
    <row r="21" spans="1:5" ht="15.75" thickBot="1" x14ac:dyDescent="0.3">
      <c r="A21" s="258"/>
      <c r="B21" s="259"/>
      <c r="C21" s="260"/>
      <c r="D21" s="260"/>
      <c r="E21" s="260"/>
    </row>
    <row r="22" spans="1:5" ht="15.75" thickBot="1" x14ac:dyDescent="0.3">
      <c r="A22" s="258"/>
      <c r="B22" s="259"/>
      <c r="C22" s="261"/>
      <c r="D22" s="261"/>
      <c r="E22" s="261"/>
    </row>
    <row r="23" spans="1:5" ht="15.75" thickBot="1" x14ac:dyDescent="0.3">
      <c r="A23" s="258"/>
      <c r="B23" s="259"/>
      <c r="C23" s="261"/>
      <c r="D23" s="261"/>
      <c r="E23" s="260"/>
    </row>
    <row r="24" spans="1:5" ht="15.75" thickBot="1" x14ac:dyDescent="0.3">
      <c r="A24" s="258"/>
      <c r="B24" s="259"/>
      <c r="C24" s="261"/>
      <c r="D24" s="261"/>
      <c r="E24" s="261"/>
    </row>
    <row r="25" spans="1:5" ht="15.75" thickBot="1" x14ac:dyDescent="0.3">
      <c r="A25" s="258"/>
      <c r="B25" s="259"/>
      <c r="C25" s="261"/>
      <c r="D25" s="261"/>
      <c r="E25" s="261"/>
    </row>
    <row r="26" spans="1:5" ht="15.75" thickBot="1" x14ac:dyDescent="0.3">
      <c r="A26" s="258"/>
      <c r="B26" s="259"/>
      <c r="C26" s="261"/>
      <c r="D26" s="261"/>
      <c r="E26" s="261"/>
    </row>
    <row r="27" spans="1:5" ht="15.75" thickBot="1" x14ac:dyDescent="0.3">
      <c r="A27" s="258"/>
      <c r="B27" s="259"/>
      <c r="C27" s="260"/>
      <c r="D27" s="260"/>
      <c r="E27" s="260"/>
    </row>
    <row r="28" spans="1:5" ht="15.75" thickBot="1" x14ac:dyDescent="0.3">
      <c r="A28" s="258"/>
      <c r="B28" s="259"/>
      <c r="C28" s="260"/>
      <c r="D28" s="260"/>
      <c r="E28" s="260"/>
    </row>
    <row r="29" spans="1:5" ht="15.75" thickBot="1" x14ac:dyDescent="0.3">
      <c r="A29" s="258"/>
      <c r="B29" s="259"/>
      <c r="C29" s="260"/>
      <c r="D29" s="260"/>
      <c r="E29" s="260"/>
    </row>
    <row r="30" spans="1:5" ht="15.75" thickBot="1" x14ac:dyDescent="0.3">
      <c r="A30" s="258"/>
      <c r="B30" s="259"/>
      <c r="C30" s="260"/>
      <c r="D30" s="260"/>
      <c r="E30" s="260"/>
    </row>
    <row r="31" spans="1:5" ht="15.75" thickBot="1" x14ac:dyDescent="0.3">
      <c r="A31" s="258"/>
      <c r="B31" s="259"/>
      <c r="C31" s="260"/>
      <c r="D31" s="260"/>
      <c r="E31" s="260"/>
    </row>
    <row r="32" spans="1:5" ht="15.75" thickBot="1" x14ac:dyDescent="0.3">
      <c r="A32" s="258"/>
      <c r="B32" s="259"/>
      <c r="C32" s="260"/>
      <c r="D32" s="260"/>
      <c r="E32" s="260"/>
    </row>
    <row r="33" spans="1:5" ht="15.75" thickBot="1" x14ac:dyDescent="0.3">
      <c r="A33" s="258"/>
      <c r="B33" s="259"/>
      <c r="C33" s="260"/>
      <c r="D33" s="260"/>
      <c r="E33" s="260"/>
    </row>
    <row r="34" spans="1:5" ht="15.75" thickBot="1" x14ac:dyDescent="0.3">
      <c r="A34" s="258"/>
      <c r="B34" s="259"/>
      <c r="C34" s="260"/>
      <c r="D34" s="260"/>
      <c r="E34" s="260"/>
    </row>
    <row r="35" spans="1:5" ht="15.75" thickBot="1" x14ac:dyDescent="0.3">
      <c r="A35" s="258"/>
      <c r="B35" s="259"/>
      <c r="C35" s="260"/>
      <c r="D35" s="260"/>
      <c r="E35" s="260"/>
    </row>
    <row r="36" spans="1:5" ht="15.75" thickBot="1" x14ac:dyDescent="0.3">
      <c r="A36" s="258"/>
      <c r="B36" s="259"/>
      <c r="C36" s="260"/>
      <c r="D36" s="260"/>
      <c r="E36" s="260"/>
    </row>
    <row r="37" spans="1:5" ht="15.75" thickBot="1" x14ac:dyDescent="0.3">
      <c r="A37" s="258"/>
      <c r="B37" s="259"/>
      <c r="C37" s="261"/>
      <c r="D37" s="261"/>
      <c r="E37" s="261"/>
    </row>
    <row r="38" spans="1:5" ht="15.75" thickBot="1" x14ac:dyDescent="0.3">
      <c r="A38" s="258"/>
      <c r="B38" s="259"/>
      <c r="C38" s="261"/>
      <c r="D38" s="261"/>
      <c r="E38" s="261"/>
    </row>
    <row r="39" spans="1:5" ht="15.75" thickBot="1" x14ac:dyDescent="0.3">
      <c r="A39" s="258"/>
      <c r="B39" s="259"/>
      <c r="C39" s="260"/>
      <c r="D39" s="260"/>
      <c r="E39" s="260"/>
    </row>
    <row r="40" spans="1:5" ht="15.75" thickBot="1" x14ac:dyDescent="0.3">
      <c r="A40" s="258"/>
      <c r="B40" s="259"/>
      <c r="C40" s="260"/>
      <c r="D40" s="260"/>
      <c r="E40" s="260"/>
    </row>
    <row r="41" spans="1:5" ht="15.75" thickBot="1" x14ac:dyDescent="0.3">
      <c r="A41" s="258"/>
      <c r="B41" s="259"/>
      <c r="C41" s="260"/>
      <c r="D41" s="260"/>
      <c r="E41" s="260"/>
    </row>
    <row r="42" spans="1:5" ht="15.75" thickBot="1" x14ac:dyDescent="0.3">
      <c r="A42" s="258"/>
      <c r="B42" s="259"/>
      <c r="C42" s="260"/>
      <c r="D42" s="260"/>
      <c r="E42" s="260"/>
    </row>
    <row r="43" spans="1:5" ht="15.75" thickBot="1" x14ac:dyDescent="0.3">
      <c r="A43" s="258"/>
      <c r="B43" s="259"/>
      <c r="C43" s="260"/>
      <c r="D43" s="260"/>
      <c r="E43" s="260"/>
    </row>
    <row r="44" spans="1:5" ht="15.75" thickBot="1" x14ac:dyDescent="0.3">
      <c r="A44" s="258"/>
      <c r="B44" s="259"/>
      <c r="C44" s="261"/>
      <c r="D44" s="261"/>
      <c r="E44" s="261"/>
    </row>
    <row r="45" spans="1:5" ht="15.75" thickBot="1" x14ac:dyDescent="0.3">
      <c r="A45" s="258"/>
      <c r="B45" s="259"/>
      <c r="C45" s="260"/>
      <c r="D45" s="260"/>
      <c r="E45" s="260"/>
    </row>
    <row r="46" spans="1:5" ht="15.75" thickBot="1" x14ac:dyDescent="0.3">
      <c r="A46" s="258"/>
      <c r="B46" s="259"/>
      <c r="C46" s="260"/>
      <c r="D46" s="260"/>
      <c r="E46" s="260"/>
    </row>
    <row r="47" spans="1:5" ht="15.75" thickBot="1" x14ac:dyDescent="0.3">
      <c r="A47" s="258"/>
      <c r="B47" s="259"/>
      <c r="C47" s="261"/>
      <c r="D47" s="261"/>
      <c r="E47" s="261"/>
    </row>
    <row r="48" spans="1:5" ht="15.75" thickBot="1" x14ac:dyDescent="0.3">
      <c r="A48" s="258"/>
      <c r="B48" s="259"/>
      <c r="C48" s="261"/>
      <c r="D48" s="261"/>
      <c r="E48" s="261"/>
    </row>
    <row r="49" spans="1:5" ht="15.75" thickBot="1" x14ac:dyDescent="0.3">
      <c r="A49" s="258"/>
      <c r="B49" s="259"/>
      <c r="C49" s="261"/>
      <c r="D49" s="261"/>
      <c r="E49" s="261"/>
    </row>
    <row r="50" spans="1:5" ht="15.75" thickBot="1" x14ac:dyDescent="0.3">
      <c r="A50" s="258"/>
      <c r="B50" s="259"/>
      <c r="C50" s="260"/>
      <c r="D50" s="260"/>
      <c r="E50" s="260"/>
    </row>
    <row r="51" spans="1:5" ht="15.75" thickBot="1" x14ac:dyDescent="0.3">
      <c r="A51" s="258"/>
      <c r="B51" s="259"/>
      <c r="C51" s="260"/>
      <c r="D51" s="260"/>
      <c r="E51" s="260"/>
    </row>
    <row r="52" spans="1:5" ht="15.75" thickBot="1" x14ac:dyDescent="0.3">
      <c r="A52" s="258"/>
      <c r="B52" s="259"/>
      <c r="C52" s="260"/>
      <c r="D52" s="260"/>
      <c r="E52" s="260"/>
    </row>
    <row r="53" spans="1:5" ht="15.75" thickBot="1" x14ac:dyDescent="0.3">
      <c r="A53" s="258"/>
      <c r="B53" s="259"/>
      <c r="C53" s="260"/>
      <c r="D53" s="260"/>
      <c r="E53" s="260"/>
    </row>
    <row r="54" spans="1:5" ht="15.75" thickBot="1" x14ac:dyDescent="0.3">
      <c r="A54" s="258"/>
      <c r="B54" s="259"/>
      <c r="C54" s="260"/>
      <c r="D54" s="260"/>
      <c r="E54" s="260"/>
    </row>
    <row r="55" spans="1:5" ht="15.75" thickBot="1" x14ac:dyDescent="0.3">
      <c r="A55" s="258"/>
      <c r="B55" s="259"/>
      <c r="C55" s="261"/>
      <c r="D55" s="261"/>
      <c r="E55" s="261"/>
    </row>
    <row r="56" spans="1:5" ht="15.75" thickBot="1" x14ac:dyDescent="0.3">
      <c r="A56" s="258"/>
      <c r="B56" s="259"/>
      <c r="C56" s="260"/>
      <c r="D56" s="260"/>
      <c r="E56" s="260"/>
    </row>
    <row r="57" spans="1:5" ht="15.75" thickBot="1" x14ac:dyDescent="0.3">
      <c r="A57" s="258"/>
      <c r="B57" s="259"/>
      <c r="C57" s="260"/>
      <c r="D57" s="260"/>
      <c r="E57" s="260"/>
    </row>
    <row r="58" spans="1:5" ht="15.75" thickBot="1" x14ac:dyDescent="0.3">
      <c r="A58" s="258"/>
      <c r="B58" s="259"/>
      <c r="C58" s="260"/>
      <c r="D58" s="260"/>
      <c r="E58" s="260"/>
    </row>
    <row r="59" spans="1:5" ht="15.75" thickBot="1" x14ac:dyDescent="0.3">
      <c r="A59" s="258"/>
      <c r="B59" s="259"/>
      <c r="C59" s="261"/>
      <c r="D59" s="261"/>
      <c r="E59" s="261"/>
    </row>
    <row r="60" spans="1:5" ht="15.75" thickBot="1" x14ac:dyDescent="0.3">
      <c r="A60" s="258"/>
      <c r="B60" s="259"/>
      <c r="C60" s="260"/>
      <c r="D60" s="260"/>
      <c r="E60" s="260"/>
    </row>
    <row r="61" spans="1:5" ht="15.75" thickBot="1" x14ac:dyDescent="0.3">
      <c r="A61" s="258"/>
      <c r="B61" s="259"/>
      <c r="C61" s="260"/>
      <c r="D61" s="260"/>
      <c r="E61" s="260"/>
    </row>
    <row r="62" spans="1:5" ht="15.75" thickBot="1" x14ac:dyDescent="0.3">
      <c r="A62" s="258"/>
      <c r="B62" s="259"/>
      <c r="C62" s="260"/>
      <c r="D62" s="260"/>
      <c r="E62" s="260"/>
    </row>
  </sheetData>
  <phoneticPr fontId="29" type="noConversion"/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3"/>
  <sheetViews>
    <sheetView workbookViewId="0">
      <selection activeCell="C2" sqref="C2"/>
    </sheetView>
  </sheetViews>
  <sheetFormatPr defaultRowHeight="15" x14ac:dyDescent="0.25"/>
  <cols>
    <col min="1" max="1" width="68.85546875" customWidth="1"/>
    <col min="2" max="3" width="15.140625" bestFit="1" customWidth="1"/>
  </cols>
  <sheetData>
    <row r="1" spans="1:3" ht="15.75" thickBot="1" x14ac:dyDescent="0.3">
      <c r="A1" s="197" t="s">
        <v>200</v>
      </c>
      <c r="B1" s="59" t="s">
        <v>327</v>
      </c>
      <c r="C1" s="59" t="s">
        <v>333</v>
      </c>
    </row>
    <row r="2" spans="1:3" x14ac:dyDescent="0.25">
      <c r="A2" s="252" t="s">
        <v>201</v>
      </c>
      <c r="B2" s="199">
        <f>'Demonstrativos Padrões'!D46</f>
        <v>2468059027</v>
      </c>
      <c r="C2" s="199">
        <f>'Demonstrativos Padrões'!C46</f>
        <v>2561713743</v>
      </c>
    </row>
    <row r="3" spans="1:3" x14ac:dyDescent="0.25">
      <c r="A3" s="253" t="s">
        <v>202</v>
      </c>
      <c r="B3" s="200">
        <f>'Demonstrativos Padrões'!D47</f>
        <v>-1695387460</v>
      </c>
      <c r="C3" s="200">
        <f>'Demonstrativos Padrões'!C47</f>
        <v>-1744323131</v>
      </c>
    </row>
    <row r="4" spans="1:3" x14ac:dyDescent="0.25">
      <c r="A4" s="254" t="s">
        <v>33</v>
      </c>
      <c r="B4" s="201">
        <f>B2+B3</f>
        <v>772671567</v>
      </c>
      <c r="C4" s="201">
        <f>C2+C3</f>
        <v>817390612</v>
      </c>
    </row>
    <row r="5" spans="1:3" x14ac:dyDescent="0.25">
      <c r="A5" s="253" t="s">
        <v>34</v>
      </c>
      <c r="B5" s="200">
        <f>'Demonstrativos Padrões'!D50+'Demonstrativos Padrões'!D51</f>
        <v>-484311690</v>
      </c>
      <c r="C5" s="200">
        <f>'Demonstrativos Padrões'!C50+'Demonstrativos Padrões'!C51</f>
        <v>-493435400</v>
      </c>
    </row>
    <row r="6" spans="1:3" x14ac:dyDescent="0.25">
      <c r="A6" s="255" t="s">
        <v>37</v>
      </c>
      <c r="B6" s="202">
        <f>'Demonstrativos Padrões'!D57</f>
        <v>202111890</v>
      </c>
      <c r="C6" s="202">
        <f>'Demonstrativos Padrões'!C57</f>
        <v>135900689</v>
      </c>
    </row>
    <row r="7" spans="1:3" x14ac:dyDescent="0.25">
      <c r="A7" s="255" t="s">
        <v>203</v>
      </c>
      <c r="B7" s="202">
        <f>'Demonstrativos Padrões'!D53+'Demonstrativos Padrões'!D54</f>
        <v>-76257908</v>
      </c>
      <c r="C7" s="202">
        <f>'Demonstrativos Padrões'!C53+'Demonstrativos Padrões'!C54</f>
        <v>-35674725</v>
      </c>
    </row>
    <row r="8" spans="1:3" x14ac:dyDescent="0.25">
      <c r="A8" s="255" t="s">
        <v>204</v>
      </c>
      <c r="B8" s="202">
        <f>'Demonstrativos Padrões'!D55</f>
        <v>13744099</v>
      </c>
      <c r="C8" s="202">
        <f>'Demonstrativos Padrões'!C55</f>
        <v>11223026</v>
      </c>
    </row>
    <row r="9" spans="1:3" x14ac:dyDescent="0.25">
      <c r="A9" s="255" t="s">
        <v>205</v>
      </c>
      <c r="B9" s="202">
        <v>0</v>
      </c>
      <c r="C9" s="202">
        <v>0</v>
      </c>
    </row>
    <row r="10" spans="1:3" x14ac:dyDescent="0.25">
      <c r="A10" s="254" t="s">
        <v>206</v>
      </c>
      <c r="B10" s="201">
        <f>SUM(B4:B9)</f>
        <v>427957958</v>
      </c>
      <c r="C10" s="201">
        <f>SUM(C4:C9)</f>
        <v>435404202</v>
      </c>
    </row>
    <row r="11" spans="1:3" x14ac:dyDescent="0.25">
      <c r="A11" s="253" t="s">
        <v>207</v>
      </c>
      <c r="B11" s="203">
        <f>-0.34*(B10-B8)</f>
        <v>-140832712.06</v>
      </c>
      <c r="C11" s="203">
        <f>-0.34*(C10-C8)</f>
        <v>-144221599.84</v>
      </c>
    </row>
    <row r="12" spans="1:3" ht="15.75" thickBot="1" x14ac:dyDescent="0.3">
      <c r="A12" s="256" t="s">
        <v>214</v>
      </c>
      <c r="B12" s="204">
        <f>B10+B11</f>
        <v>287125245.94</v>
      </c>
      <c r="C12" s="204">
        <f>C10+C11</f>
        <v>291182602.15999997</v>
      </c>
    </row>
    <row r="13" spans="1:3" x14ac:dyDescent="0.25">
      <c r="A13" s="251"/>
    </row>
    <row r="14" spans="1:3" ht="15.75" thickBot="1" x14ac:dyDescent="0.3">
      <c r="A14" s="251"/>
      <c r="C14" s="6" t="s">
        <v>1</v>
      </c>
    </row>
    <row r="15" spans="1:3" ht="15.75" thickBot="1" x14ac:dyDescent="0.3">
      <c r="A15" s="197" t="s">
        <v>208</v>
      </c>
      <c r="B15" s="198" t="str">
        <f t="shared" ref="B15:C19" si="0">B1</f>
        <v> 31/12/2016</v>
      </c>
      <c r="C15" s="205" t="str">
        <f t="shared" si="0"/>
        <v> 31/12/2017</v>
      </c>
    </row>
    <row r="16" spans="1:3" x14ac:dyDescent="0.25">
      <c r="A16" s="252" t="s">
        <v>209</v>
      </c>
      <c r="B16" s="199">
        <f t="shared" si="0"/>
        <v>2468059027</v>
      </c>
      <c r="C16" s="199">
        <f t="shared" si="0"/>
        <v>2561713743</v>
      </c>
    </row>
    <row r="17" spans="1:3" x14ac:dyDescent="0.25">
      <c r="A17" s="253" t="s">
        <v>202</v>
      </c>
      <c r="B17" s="200">
        <f t="shared" si="0"/>
        <v>-1695387460</v>
      </c>
      <c r="C17" s="200">
        <f t="shared" si="0"/>
        <v>-1744323131</v>
      </c>
    </row>
    <row r="18" spans="1:3" x14ac:dyDescent="0.25">
      <c r="A18" s="254" t="s">
        <v>210</v>
      </c>
      <c r="B18" s="201">
        <f t="shared" si="0"/>
        <v>772671567</v>
      </c>
      <c r="C18" s="201">
        <f t="shared" si="0"/>
        <v>817390612</v>
      </c>
    </row>
    <row r="19" spans="1:3" x14ac:dyDescent="0.25">
      <c r="A19" s="253" t="s">
        <v>34</v>
      </c>
      <c r="B19" s="200">
        <f t="shared" si="0"/>
        <v>-484311690</v>
      </c>
      <c r="C19" s="200">
        <f t="shared" si="0"/>
        <v>-493435400</v>
      </c>
    </row>
    <row r="20" spans="1:3" x14ac:dyDescent="0.25">
      <c r="A20" s="255" t="s">
        <v>211</v>
      </c>
      <c r="B20" s="202">
        <f>B7</f>
        <v>-76257908</v>
      </c>
      <c r="C20" s="202">
        <f>C7</f>
        <v>-35674725</v>
      </c>
    </row>
    <row r="21" spans="1:3" x14ac:dyDescent="0.25">
      <c r="A21" s="254" t="s">
        <v>212</v>
      </c>
      <c r="B21" s="201">
        <f>B18+B19+B20</f>
        <v>212101969</v>
      </c>
      <c r="C21" s="201">
        <f>C18+C19+C20</f>
        <v>288280487</v>
      </c>
    </row>
    <row r="22" spans="1:3" x14ac:dyDescent="0.25">
      <c r="A22" s="253" t="s">
        <v>207</v>
      </c>
      <c r="B22" s="203">
        <f>-0.34*B21</f>
        <v>-72114669.460000008</v>
      </c>
      <c r="C22" s="203">
        <f>-0.34*C21</f>
        <v>-98015365.580000013</v>
      </c>
    </row>
    <row r="23" spans="1:3" ht="15.75" thickBot="1" x14ac:dyDescent="0.3">
      <c r="A23" s="256" t="s">
        <v>213</v>
      </c>
      <c r="B23" s="206">
        <f>B21+B22</f>
        <v>139987299.53999999</v>
      </c>
      <c r="C23" s="206">
        <f>C21+C22</f>
        <v>190265121.41999999</v>
      </c>
    </row>
  </sheetData>
  <phoneticPr fontId="29" type="noConversion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1"/>
  <sheetViews>
    <sheetView showGridLines="0" workbookViewId="0">
      <selection activeCell="C2" sqref="C2"/>
    </sheetView>
  </sheetViews>
  <sheetFormatPr defaultRowHeight="12.75" x14ac:dyDescent="0.2"/>
  <cols>
    <col min="1" max="1" width="60.7109375" style="73" customWidth="1"/>
    <col min="2" max="5" width="16.5703125" style="73" customWidth="1"/>
    <col min="6" max="16384" width="9.140625" style="73"/>
  </cols>
  <sheetData>
    <row r="1" spans="1:12" s="46" customFormat="1" ht="14.25" customHeight="1" thickBot="1" x14ac:dyDescent="0.25">
      <c r="A1" s="43" t="s">
        <v>87</v>
      </c>
      <c r="B1" s="44" t="s">
        <v>327</v>
      </c>
      <c r="C1" s="44" t="s">
        <v>333</v>
      </c>
      <c r="D1" s="45"/>
      <c r="E1" s="45"/>
    </row>
    <row r="2" spans="1:12" s="50" customFormat="1" ht="14.25" customHeight="1" x14ac:dyDescent="0.25">
      <c r="A2" s="47" t="s">
        <v>88</v>
      </c>
      <c r="B2" s="48">
        <f>'Demonstrativos Gerenciais SITE'!C3/'Demonstrativos Gerenciais SITE'!C2</f>
        <v>0.34693070969839035</v>
      </c>
      <c r="C2" s="48">
        <f>'Demonstrativos Gerenciais SITE'!B3/'Demonstrativos Gerenciais SITE'!B2</f>
        <v>0.34826721108311642</v>
      </c>
      <c r="D2" s="49"/>
      <c r="E2" s="49"/>
    </row>
    <row r="3" spans="1:12" s="50" customFormat="1" ht="14.25" customHeight="1" x14ac:dyDescent="0.25">
      <c r="A3" s="51" t="s">
        <v>89</v>
      </c>
      <c r="B3" s="52">
        <f>'Demonstrativos Gerenciais SITE'!C10/'Demonstrativos Gerenciais SITE'!C2</f>
        <v>0.13220597713867696</v>
      </c>
      <c r="C3" s="52">
        <f>'Demonstrativos Gerenciais SITE'!B10/'Demonstrativos Gerenciais SITE'!B2</f>
        <v>0.13275091191307167</v>
      </c>
      <c r="D3" s="49"/>
      <c r="E3" s="49"/>
    </row>
    <row r="4" spans="1:12" s="50" customFormat="1" ht="14.25" customHeight="1" x14ac:dyDescent="0.25">
      <c r="A4" s="51" t="s">
        <v>90</v>
      </c>
      <c r="B4" s="52">
        <f>'Demonstrativos Gerenciais SITE'!C11/'Demonstrativos Gerenciais SITE'!C2</f>
        <v>0.52086331316293266</v>
      </c>
      <c r="C4" s="52">
        <f>'Demonstrativos Gerenciais SITE'!B11/'Demonstrativos Gerenciais SITE'!B2</f>
        <v>0.51898187700381193</v>
      </c>
      <c r="D4" s="49"/>
      <c r="E4" s="49"/>
    </row>
    <row r="5" spans="1:12" s="50" customFormat="1" ht="14.25" customHeight="1" thickBot="1" x14ac:dyDescent="0.25">
      <c r="A5" s="53" t="s">
        <v>91</v>
      </c>
      <c r="B5" s="54">
        <f>'Demonstrativos Gerenciais SITE'!C2</f>
        <v>4379515386</v>
      </c>
      <c r="C5" s="54">
        <f>'Demonstrativos Gerenciais SITE'!B2</f>
        <v>4488881262</v>
      </c>
      <c r="D5" s="55"/>
      <c r="E5" s="55"/>
    </row>
    <row r="6" spans="1:12" s="50" customFormat="1" ht="14.25" customHeight="1" x14ac:dyDescent="0.25">
      <c r="A6" s="51" t="s">
        <v>92</v>
      </c>
      <c r="B6" s="52">
        <f>'Demonstrativos Gerenciais SITE'!C17/'Demonstrativos Gerenciais SITE'!C16</f>
        <v>0.22765349659168888</v>
      </c>
      <c r="C6" s="52">
        <f>'Demonstrativos Gerenciais SITE'!B17/'Demonstrativos Gerenciais SITE'!B16</f>
        <v>0.21924472280683818</v>
      </c>
      <c r="D6" s="49"/>
      <c r="E6" s="49"/>
    </row>
    <row r="7" spans="1:12" s="50" customFormat="1" ht="14.25" customHeight="1" x14ac:dyDescent="0.25">
      <c r="A7" s="51" t="s">
        <v>93</v>
      </c>
      <c r="B7" s="52">
        <f>'Demonstrativos Gerenciais SITE'!C25/'Demonstrativos Gerenciais SITE'!C16</f>
        <v>0.35718538357019941</v>
      </c>
      <c r="C7" s="52">
        <f>'Demonstrativos Gerenciais SITE'!B25/'Demonstrativos Gerenciais SITE'!B16</f>
        <v>0.35735284436668174</v>
      </c>
      <c r="D7" s="49"/>
      <c r="E7" s="49"/>
      <c r="F7" s="49"/>
    </row>
    <row r="8" spans="1:12" s="50" customFormat="1" ht="14.25" customHeight="1" x14ac:dyDescent="0.25">
      <c r="A8" s="51" t="s">
        <v>94</v>
      </c>
      <c r="B8" s="52">
        <f>'Demonstrativos Gerenciais SITE'!C33/'Demonstrativos Gerenciais SITE'!C16</f>
        <v>0.41516111983811171</v>
      </c>
      <c r="C8" s="52">
        <f>'Demonstrativos Gerenciais SITE'!B33/'Demonstrativos Gerenciais SITE'!B16</f>
        <v>0.42340243282648005</v>
      </c>
      <c r="D8" s="49"/>
      <c r="E8" s="49"/>
    </row>
    <row r="9" spans="1:12" s="50" customFormat="1" ht="14.25" customHeight="1" thickBot="1" x14ac:dyDescent="0.25">
      <c r="A9" s="53" t="s">
        <v>95</v>
      </c>
      <c r="B9" s="54">
        <f>'Demonstrativos Gerenciais SITE'!C16</f>
        <v>4379515386</v>
      </c>
      <c r="C9" s="54">
        <f>'Demonstrativos Gerenciais SITE'!B16</f>
        <v>4488881262</v>
      </c>
      <c r="D9" s="55"/>
      <c r="E9" s="55"/>
    </row>
    <row r="10" spans="1:12" s="50" customFormat="1" ht="14.25" customHeight="1" thickBot="1" x14ac:dyDescent="0.25">
      <c r="A10" s="56"/>
      <c r="B10" s="57"/>
      <c r="C10" s="57"/>
      <c r="D10" s="58"/>
      <c r="E10" s="58"/>
    </row>
    <row r="11" spans="1:12" s="46" customFormat="1" ht="14.25" customHeight="1" thickBot="1" x14ac:dyDescent="0.25">
      <c r="A11" s="43" t="s">
        <v>96</v>
      </c>
      <c r="B11" s="59" t="str">
        <f>B1</f>
        <v> 31/12/2016</v>
      </c>
      <c r="C11" s="59" t="str">
        <f>C1</f>
        <v> 31/12/2017</v>
      </c>
      <c r="D11" s="45"/>
      <c r="E11" s="45"/>
    </row>
    <row r="12" spans="1:12" s="50" customFormat="1" ht="14.25" customHeight="1" x14ac:dyDescent="0.2">
      <c r="A12" s="47" t="s">
        <v>97</v>
      </c>
      <c r="B12" s="60">
        <f>B13+B14</f>
        <v>3206251566</v>
      </c>
      <c r="C12" s="60">
        <f>C13+C14</f>
        <v>3217405628</v>
      </c>
      <c r="D12" s="61"/>
      <c r="E12" s="61"/>
    </row>
    <row r="13" spans="1:12" s="50" customFormat="1" ht="14.25" customHeight="1" x14ac:dyDescent="0.2">
      <c r="A13" s="51" t="s">
        <v>98</v>
      </c>
      <c r="B13" s="62">
        <f>'Demonstrativos Gerenciais SITE'!C21+'Demonstrativos Gerenciais SITE'!C27</f>
        <v>1388047054</v>
      </c>
      <c r="C13" s="62">
        <f>'Demonstrativos Gerenciais SITE'!B21+'Demonstrativos Gerenciais SITE'!B27</f>
        <v>1316802381</v>
      </c>
      <c r="D13" s="61"/>
      <c r="E13" s="61"/>
      <c r="K13" s="63"/>
      <c r="L13" s="63"/>
    </row>
    <row r="14" spans="1:12" s="50" customFormat="1" ht="14.25" customHeight="1" x14ac:dyDescent="0.2">
      <c r="A14" s="51" t="s">
        <v>99</v>
      </c>
      <c r="B14" s="62">
        <f>'Demonstrativos Gerenciais SITE'!C33</f>
        <v>1818204512</v>
      </c>
      <c r="C14" s="62">
        <f>'Demonstrativos Gerenciais SITE'!B33</f>
        <v>1900603247</v>
      </c>
      <c r="D14" s="61"/>
      <c r="E14" s="61"/>
    </row>
    <row r="15" spans="1:12" s="50" customFormat="1" ht="14.25" customHeight="1" thickBot="1" x14ac:dyDescent="0.25">
      <c r="A15" s="51" t="s">
        <v>100</v>
      </c>
      <c r="B15" s="62">
        <f>B14+B13</f>
        <v>3206251566</v>
      </c>
      <c r="C15" s="62">
        <f>C14+C13</f>
        <v>3217405628</v>
      </c>
      <c r="D15" s="61"/>
      <c r="E15" s="61"/>
    </row>
    <row r="16" spans="1:12" s="50" customFormat="1" ht="14.25" hidden="1" customHeight="1" thickBot="1" x14ac:dyDescent="0.25">
      <c r="A16" s="47" t="s">
        <v>101</v>
      </c>
      <c r="B16" s="64" t="s">
        <v>102</v>
      </c>
      <c r="C16" s="64" t="s">
        <v>102</v>
      </c>
      <c r="D16" s="65"/>
      <c r="E16" s="65"/>
    </row>
    <row r="17" spans="1:5" s="50" customFormat="1" ht="14.25" customHeight="1" x14ac:dyDescent="0.25">
      <c r="A17" s="47" t="s">
        <v>98</v>
      </c>
      <c r="B17" s="66">
        <f>B13/B12</f>
        <v>0.43291894769557204</v>
      </c>
      <c r="C17" s="66">
        <f>C13/C12</f>
        <v>0.40927459364784824</v>
      </c>
      <c r="D17" s="67"/>
      <c r="E17" s="67"/>
    </row>
    <row r="18" spans="1:5" s="50" customFormat="1" ht="14.25" customHeight="1" thickBot="1" x14ac:dyDescent="0.3">
      <c r="A18" s="51" t="s">
        <v>99</v>
      </c>
      <c r="B18" s="68">
        <f>B14/B12</f>
        <v>0.56708105230442796</v>
      </c>
      <c r="C18" s="68">
        <f>C14/C12</f>
        <v>0.59072540635215176</v>
      </c>
      <c r="D18" s="67"/>
      <c r="E18" s="67"/>
    </row>
    <row r="19" spans="1:5" s="72" customFormat="1" ht="14.25" customHeight="1" thickBot="1" x14ac:dyDescent="0.25">
      <c r="A19" s="69" t="s">
        <v>97</v>
      </c>
      <c r="B19" s="70">
        <f>SUM(B17:B18)</f>
        <v>1</v>
      </c>
      <c r="C19" s="70">
        <f>SUM(C17:C18)</f>
        <v>1</v>
      </c>
      <c r="D19" s="71"/>
      <c r="E19" s="71"/>
    </row>
    <row r="20" spans="1:5" ht="19.5" customHeight="1" x14ac:dyDescent="0.2"/>
    <row r="21" spans="1:5" s="50" customFormat="1" ht="32.25" customHeight="1" x14ac:dyDescent="0.4">
      <c r="A21" s="335" t="s">
        <v>103</v>
      </c>
      <c r="B21" s="336"/>
      <c r="C21" s="336"/>
      <c r="D21" s="336"/>
      <c r="E21" s="337"/>
    </row>
    <row r="22" spans="1:5" s="50" customFormat="1" ht="27.75" customHeight="1" x14ac:dyDescent="0.2">
      <c r="A22" s="74"/>
    </row>
    <row r="23" spans="1:5" ht="26.25" x14ac:dyDescent="0.4">
      <c r="A23" s="338" t="str">
        <f>B1</f>
        <v> 31/12/2016</v>
      </c>
      <c r="B23" s="339"/>
      <c r="C23" s="339"/>
      <c r="D23" s="339"/>
      <c r="E23" s="340"/>
    </row>
    <row r="24" spans="1:5" x14ac:dyDescent="0.2">
      <c r="A24" s="75"/>
      <c r="B24" s="58"/>
      <c r="C24" s="58"/>
      <c r="D24" s="58"/>
      <c r="E24" s="76"/>
    </row>
    <row r="25" spans="1:5" x14ac:dyDescent="0.2">
      <c r="A25" s="75"/>
      <c r="B25" s="58"/>
      <c r="C25" s="58"/>
      <c r="D25" s="58"/>
      <c r="E25" s="76"/>
    </row>
    <row r="26" spans="1:5" x14ac:dyDescent="0.2">
      <c r="A26" s="75"/>
      <c r="B26" s="58"/>
      <c r="C26" s="58"/>
      <c r="D26" s="58"/>
      <c r="E26" s="76"/>
    </row>
    <row r="27" spans="1:5" x14ac:dyDescent="0.2">
      <c r="A27" s="75"/>
      <c r="B27" s="58"/>
      <c r="C27" s="58"/>
      <c r="D27" s="58"/>
      <c r="E27" s="76"/>
    </row>
    <row r="28" spans="1:5" x14ac:dyDescent="0.2">
      <c r="A28" s="75"/>
      <c r="B28" s="58"/>
      <c r="C28" s="58"/>
      <c r="D28" s="58"/>
      <c r="E28" s="76"/>
    </row>
    <row r="29" spans="1:5" x14ac:dyDescent="0.2">
      <c r="A29" s="75"/>
      <c r="B29" s="58"/>
      <c r="C29" s="58"/>
      <c r="D29" s="58"/>
      <c r="E29" s="76"/>
    </row>
    <row r="30" spans="1:5" x14ac:dyDescent="0.2">
      <c r="A30" s="75"/>
      <c r="B30" s="58"/>
      <c r="C30" s="58"/>
      <c r="D30" s="58"/>
      <c r="E30" s="76"/>
    </row>
    <row r="31" spans="1:5" x14ac:dyDescent="0.2">
      <c r="A31" s="75"/>
      <c r="B31" s="58"/>
      <c r="C31" s="58"/>
      <c r="D31" s="58"/>
      <c r="E31" s="76"/>
    </row>
    <row r="32" spans="1:5" x14ac:dyDescent="0.2">
      <c r="A32" s="75"/>
      <c r="B32" s="58"/>
      <c r="C32" s="58"/>
      <c r="D32" s="58"/>
      <c r="E32" s="76"/>
    </row>
    <row r="33" spans="1:5" x14ac:dyDescent="0.2">
      <c r="A33" s="75"/>
      <c r="B33" s="58"/>
      <c r="C33" s="58"/>
      <c r="D33" s="58"/>
      <c r="E33" s="76"/>
    </row>
    <row r="34" spans="1:5" x14ac:dyDescent="0.2">
      <c r="A34" s="75"/>
      <c r="B34" s="58"/>
      <c r="C34" s="58"/>
      <c r="D34" s="58"/>
      <c r="E34" s="76"/>
    </row>
    <row r="35" spans="1:5" x14ac:dyDescent="0.2">
      <c r="A35" s="75"/>
      <c r="B35" s="58"/>
      <c r="C35" s="58"/>
      <c r="D35" s="58"/>
      <c r="E35" s="76"/>
    </row>
    <row r="36" spans="1:5" x14ac:dyDescent="0.2">
      <c r="A36" s="75"/>
      <c r="B36" s="58"/>
      <c r="C36" s="58"/>
      <c r="D36" s="58"/>
      <c r="E36" s="76"/>
    </row>
    <row r="37" spans="1:5" x14ac:dyDescent="0.2">
      <c r="A37" s="75"/>
      <c r="B37" s="58"/>
      <c r="C37" s="58"/>
      <c r="D37" s="58"/>
      <c r="E37" s="76"/>
    </row>
    <row r="38" spans="1:5" x14ac:dyDescent="0.2">
      <c r="A38" s="75"/>
      <c r="B38" s="58"/>
      <c r="C38" s="58"/>
      <c r="D38" s="58"/>
      <c r="E38" s="76"/>
    </row>
    <row r="39" spans="1:5" x14ac:dyDescent="0.2">
      <c r="A39" s="75"/>
      <c r="B39" s="58"/>
      <c r="C39" s="58"/>
      <c r="D39" s="58"/>
      <c r="E39" s="76"/>
    </row>
    <row r="40" spans="1:5" x14ac:dyDescent="0.2">
      <c r="A40" s="75"/>
      <c r="B40" s="58"/>
      <c r="C40" s="58"/>
      <c r="D40" s="58"/>
      <c r="E40" s="76"/>
    </row>
    <row r="41" spans="1:5" x14ac:dyDescent="0.2">
      <c r="A41" s="75"/>
      <c r="B41" s="58"/>
      <c r="C41" s="58"/>
      <c r="D41" s="58"/>
      <c r="E41" s="76"/>
    </row>
    <row r="42" spans="1:5" x14ac:dyDescent="0.2">
      <c r="A42" s="75"/>
      <c r="B42" s="58"/>
      <c r="C42" s="58"/>
      <c r="D42" s="58"/>
      <c r="E42" s="76"/>
    </row>
    <row r="43" spans="1:5" x14ac:dyDescent="0.2">
      <c r="A43" s="75"/>
      <c r="B43" s="58"/>
      <c r="C43" s="58"/>
      <c r="D43" s="58"/>
      <c r="E43" s="76"/>
    </row>
    <row r="44" spans="1:5" ht="19.5" x14ac:dyDescent="0.3">
      <c r="A44" s="77" t="s">
        <v>104</v>
      </c>
      <c r="B44" s="334">
        <f>B5</f>
        <v>4379515386</v>
      </c>
      <c r="C44" s="334"/>
      <c r="D44" s="78"/>
      <c r="E44" s="79"/>
    </row>
    <row r="48" spans="1:5" ht="26.25" x14ac:dyDescent="0.4">
      <c r="A48" s="335" t="s">
        <v>103</v>
      </c>
      <c r="B48" s="336"/>
      <c r="C48" s="336"/>
      <c r="D48" s="336"/>
      <c r="E48" s="337"/>
    </row>
    <row r="49" spans="1:5" x14ac:dyDescent="0.2">
      <c r="A49" s="74"/>
      <c r="B49" s="50"/>
      <c r="C49" s="50"/>
      <c r="D49" s="50"/>
      <c r="E49" s="50"/>
    </row>
    <row r="50" spans="1:5" ht="26.25" x14ac:dyDescent="0.4">
      <c r="A50" s="338" t="str">
        <f>C1</f>
        <v> 31/12/2017</v>
      </c>
      <c r="B50" s="339"/>
      <c r="C50" s="339"/>
      <c r="D50" s="339"/>
      <c r="E50" s="340"/>
    </row>
    <row r="51" spans="1:5" x14ac:dyDescent="0.2">
      <c r="A51" s="75"/>
      <c r="B51" s="58"/>
      <c r="C51" s="58"/>
      <c r="D51" s="58"/>
      <c r="E51" s="76"/>
    </row>
    <row r="52" spans="1:5" x14ac:dyDescent="0.2">
      <c r="A52" s="75"/>
      <c r="B52" s="58"/>
      <c r="C52" s="58"/>
      <c r="D52" s="58"/>
      <c r="E52" s="76"/>
    </row>
    <row r="53" spans="1:5" x14ac:dyDescent="0.2">
      <c r="A53" s="75"/>
      <c r="B53" s="58"/>
      <c r="C53" s="58"/>
      <c r="D53" s="58"/>
      <c r="E53" s="76"/>
    </row>
    <row r="54" spans="1:5" x14ac:dyDescent="0.2">
      <c r="A54" s="75"/>
      <c r="B54" s="58"/>
      <c r="C54" s="58"/>
      <c r="D54" s="58"/>
      <c r="E54" s="76"/>
    </row>
    <row r="55" spans="1:5" x14ac:dyDescent="0.2">
      <c r="A55" s="75"/>
      <c r="B55" s="58"/>
      <c r="C55" s="58"/>
      <c r="D55" s="58"/>
      <c r="E55" s="76"/>
    </row>
    <row r="56" spans="1:5" x14ac:dyDescent="0.2">
      <c r="A56" s="75"/>
      <c r="B56" s="58"/>
      <c r="C56" s="58"/>
      <c r="D56" s="58"/>
      <c r="E56" s="76"/>
    </row>
    <row r="57" spans="1:5" x14ac:dyDescent="0.2">
      <c r="A57" s="75"/>
      <c r="B57" s="58"/>
      <c r="C57" s="58"/>
      <c r="D57" s="58"/>
      <c r="E57" s="76"/>
    </row>
    <row r="58" spans="1:5" x14ac:dyDescent="0.2">
      <c r="A58" s="75"/>
      <c r="B58" s="58"/>
      <c r="C58" s="58"/>
      <c r="D58" s="58"/>
      <c r="E58" s="76"/>
    </row>
    <row r="59" spans="1:5" x14ac:dyDescent="0.2">
      <c r="A59" s="75"/>
      <c r="B59" s="58"/>
      <c r="C59" s="58"/>
      <c r="D59" s="58"/>
      <c r="E59" s="76"/>
    </row>
    <row r="60" spans="1:5" x14ac:dyDescent="0.2">
      <c r="A60" s="75"/>
      <c r="B60" s="58"/>
      <c r="C60" s="58"/>
      <c r="D60" s="58"/>
      <c r="E60" s="76"/>
    </row>
    <row r="61" spans="1:5" x14ac:dyDescent="0.2">
      <c r="A61" s="75"/>
      <c r="B61" s="58"/>
      <c r="C61" s="58"/>
      <c r="D61" s="58"/>
      <c r="E61" s="76"/>
    </row>
    <row r="62" spans="1:5" x14ac:dyDescent="0.2">
      <c r="A62" s="75"/>
      <c r="B62" s="58"/>
      <c r="C62" s="58"/>
      <c r="D62" s="58"/>
      <c r="E62" s="76"/>
    </row>
    <row r="63" spans="1:5" x14ac:dyDescent="0.2">
      <c r="A63" s="75"/>
      <c r="B63" s="58"/>
      <c r="C63" s="58"/>
      <c r="D63" s="58"/>
      <c r="E63" s="76"/>
    </row>
    <row r="64" spans="1:5" x14ac:dyDescent="0.2">
      <c r="A64" s="75"/>
      <c r="B64" s="58"/>
      <c r="C64" s="58"/>
      <c r="D64" s="58"/>
      <c r="E64" s="76"/>
    </row>
    <row r="65" spans="1:5" x14ac:dyDescent="0.2">
      <c r="A65" s="75"/>
      <c r="B65" s="58"/>
      <c r="C65" s="58"/>
      <c r="D65" s="58"/>
      <c r="E65" s="76"/>
    </row>
    <row r="66" spans="1:5" x14ac:dyDescent="0.2">
      <c r="A66" s="75"/>
      <c r="B66" s="58"/>
      <c r="C66" s="58"/>
      <c r="D66" s="58"/>
      <c r="E66" s="76"/>
    </row>
    <row r="67" spans="1:5" x14ac:dyDescent="0.2">
      <c r="A67" s="75"/>
      <c r="B67" s="58"/>
      <c r="C67" s="58"/>
      <c r="D67" s="58"/>
      <c r="E67" s="76"/>
    </row>
    <row r="68" spans="1:5" x14ac:dyDescent="0.2">
      <c r="A68" s="75"/>
      <c r="B68" s="58"/>
      <c r="C68" s="58"/>
      <c r="D68" s="58"/>
      <c r="E68" s="76"/>
    </row>
    <row r="69" spans="1:5" x14ac:dyDescent="0.2">
      <c r="A69" s="75"/>
      <c r="B69" s="58"/>
      <c r="C69" s="58"/>
      <c r="D69" s="58"/>
      <c r="E69" s="76"/>
    </row>
    <row r="70" spans="1:5" x14ac:dyDescent="0.2">
      <c r="A70" s="75"/>
      <c r="B70" s="58"/>
      <c r="C70" s="58"/>
      <c r="D70" s="58"/>
      <c r="E70" s="76"/>
    </row>
    <row r="71" spans="1:5" ht="19.5" x14ac:dyDescent="0.3">
      <c r="A71" s="77" t="s">
        <v>104</v>
      </c>
      <c r="B71" s="334">
        <f>C5</f>
        <v>4488881262</v>
      </c>
      <c r="C71" s="334"/>
      <c r="D71" s="78"/>
      <c r="E71" s="79"/>
    </row>
  </sheetData>
  <mergeCells count="6">
    <mergeCell ref="B71:C71"/>
    <mergeCell ref="A21:E21"/>
    <mergeCell ref="A23:E23"/>
    <mergeCell ref="B44:C44"/>
    <mergeCell ref="A48:E48"/>
    <mergeCell ref="A50:E50"/>
  </mergeCells>
  <phoneticPr fontId="29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4"/>
  <sheetViews>
    <sheetView workbookViewId="0">
      <selection activeCell="E1" sqref="C1:E1"/>
    </sheetView>
  </sheetViews>
  <sheetFormatPr defaultRowHeight="15" x14ac:dyDescent="0.25"/>
  <cols>
    <col min="1" max="1" width="8.7109375" bestFit="1" customWidth="1"/>
    <col min="2" max="2" width="52.140625" bestFit="1" customWidth="1"/>
    <col min="3" max="5" width="10.42578125" bestFit="1" customWidth="1"/>
  </cols>
  <sheetData>
    <row r="1" spans="1:5" ht="17.25" thickBot="1" x14ac:dyDescent="0.4">
      <c r="A1" s="263" t="s">
        <v>230</v>
      </c>
      <c r="B1" s="263" t="s">
        <v>231</v>
      </c>
      <c r="C1" s="1">
        <v>41639</v>
      </c>
      <c r="D1" s="1">
        <v>41274</v>
      </c>
      <c r="E1" s="1">
        <v>40908</v>
      </c>
    </row>
    <row r="2" spans="1:5" ht="15.75" thickBot="1" x14ac:dyDescent="0.3">
      <c r="A2" s="258"/>
      <c r="B2" s="259"/>
      <c r="C2" s="261"/>
      <c r="D2" s="261"/>
      <c r="E2" s="261"/>
    </row>
    <row r="3" spans="1:5" ht="15.75" thickBot="1" x14ac:dyDescent="0.3">
      <c r="A3" s="258"/>
      <c r="B3" s="259"/>
      <c r="C3" s="261"/>
      <c r="D3" s="261"/>
      <c r="E3" s="261"/>
    </row>
    <row r="4" spans="1:5" ht="15.75" thickBot="1" x14ac:dyDescent="0.3">
      <c r="A4" s="258"/>
      <c r="B4" s="259"/>
      <c r="C4" s="261"/>
      <c r="D4" s="261"/>
      <c r="E4" s="261"/>
    </row>
    <row r="5" spans="1:5" ht="15.75" thickBot="1" x14ac:dyDescent="0.3">
      <c r="A5" s="258"/>
      <c r="B5" s="259"/>
      <c r="C5" s="260"/>
      <c r="D5" s="260"/>
      <c r="E5" s="260"/>
    </row>
    <row r="6" spans="1:5" ht="15.75" thickBot="1" x14ac:dyDescent="0.3">
      <c r="A6" s="258"/>
      <c r="B6" s="259"/>
      <c r="C6" s="260"/>
      <c r="D6" s="260"/>
      <c r="E6" s="260"/>
    </row>
    <row r="7" spans="1:5" ht="15.75" thickBot="1" x14ac:dyDescent="0.3">
      <c r="A7" s="258"/>
      <c r="B7" s="259"/>
      <c r="C7" s="261"/>
      <c r="D7" s="261"/>
      <c r="E7" s="261"/>
    </row>
    <row r="8" spans="1:5" ht="15.75" thickBot="1" x14ac:dyDescent="0.3">
      <c r="A8" s="258"/>
      <c r="B8" s="259"/>
      <c r="C8" s="260"/>
      <c r="D8" s="260"/>
      <c r="E8" s="260"/>
    </row>
    <row r="9" spans="1:5" ht="15.75" thickBot="1" x14ac:dyDescent="0.3">
      <c r="A9" s="258"/>
      <c r="B9" s="259"/>
      <c r="C9" s="260"/>
      <c r="D9" s="260"/>
      <c r="E9" s="260"/>
    </row>
    <row r="10" spans="1:5" ht="15.75" thickBot="1" x14ac:dyDescent="0.3">
      <c r="A10" s="258"/>
      <c r="B10" s="259"/>
      <c r="C10" s="261"/>
      <c r="D10" s="261"/>
      <c r="E10" s="261"/>
    </row>
    <row r="11" spans="1:5" ht="15.75" thickBot="1" x14ac:dyDescent="0.3">
      <c r="A11" s="258"/>
      <c r="B11" s="259"/>
      <c r="C11" s="260"/>
      <c r="D11" s="260"/>
      <c r="E11" s="260"/>
    </row>
    <row r="12" spans="1:5" ht="15.75" thickBot="1" x14ac:dyDescent="0.3">
      <c r="A12" s="258"/>
      <c r="B12" s="259"/>
      <c r="C12" s="260"/>
      <c r="D12" s="260"/>
      <c r="E12" s="260"/>
    </row>
    <row r="13" spans="1:5" ht="15.75" thickBot="1" x14ac:dyDescent="0.3">
      <c r="A13" s="258"/>
      <c r="B13" s="259"/>
      <c r="C13" s="260"/>
      <c r="D13" s="260"/>
      <c r="E13" s="260"/>
    </row>
    <row r="14" spans="1:5" ht="15.75" thickBot="1" x14ac:dyDescent="0.3">
      <c r="A14" s="258"/>
      <c r="B14" s="259"/>
      <c r="C14" s="260"/>
      <c r="D14" s="260"/>
      <c r="E14" s="260"/>
    </row>
    <row r="15" spans="1:5" ht="15.75" thickBot="1" x14ac:dyDescent="0.3">
      <c r="A15" s="258"/>
      <c r="B15" s="259"/>
      <c r="C15" s="261"/>
      <c r="D15" s="261"/>
      <c r="E15" s="261"/>
    </row>
    <row r="16" spans="1:5" ht="15.75" thickBot="1" x14ac:dyDescent="0.3">
      <c r="A16" s="258"/>
      <c r="B16" s="259"/>
      <c r="C16" s="260"/>
      <c r="D16" s="260"/>
      <c r="E16" s="260"/>
    </row>
    <row r="17" spans="1:5" ht="15.75" thickBot="1" x14ac:dyDescent="0.3">
      <c r="A17" s="258"/>
      <c r="B17" s="259"/>
      <c r="C17" s="260"/>
      <c r="D17" s="260"/>
      <c r="E17" s="260"/>
    </row>
    <row r="18" spans="1:5" ht="15.75" thickBot="1" x14ac:dyDescent="0.3">
      <c r="A18" s="258"/>
      <c r="B18" s="259"/>
      <c r="C18" s="260"/>
      <c r="D18" s="260"/>
      <c r="E18" s="260"/>
    </row>
    <row r="19" spans="1:5" ht="15.75" thickBot="1" x14ac:dyDescent="0.3">
      <c r="A19" s="258"/>
      <c r="B19" s="259"/>
      <c r="C19" s="260"/>
      <c r="D19" s="260"/>
      <c r="E19" s="260"/>
    </row>
    <row r="20" spans="1:5" ht="15.75" thickBot="1" x14ac:dyDescent="0.3">
      <c r="A20" s="258"/>
      <c r="B20" s="259"/>
      <c r="C20" s="260"/>
      <c r="D20" s="260"/>
      <c r="E20" s="260"/>
    </row>
    <row r="21" spans="1:5" ht="15.75" thickBot="1" x14ac:dyDescent="0.3">
      <c r="A21" s="258"/>
      <c r="B21" s="259"/>
      <c r="C21" s="261"/>
      <c r="D21" s="261"/>
      <c r="E21" s="261"/>
    </row>
    <row r="22" spans="1:5" ht="15.75" thickBot="1" x14ac:dyDescent="0.3">
      <c r="A22" s="258"/>
      <c r="B22" s="259"/>
      <c r="C22" s="260"/>
      <c r="D22" s="260"/>
      <c r="E22" s="260"/>
    </row>
    <row r="23" spans="1:5" ht="15.75" thickBot="1" x14ac:dyDescent="0.3">
      <c r="A23" s="258"/>
      <c r="B23" s="259"/>
      <c r="C23" s="260"/>
      <c r="D23" s="260"/>
      <c r="E23" s="260"/>
    </row>
    <row r="24" spans="1:5" ht="15.75" thickBot="1" x14ac:dyDescent="0.3">
      <c r="A24" s="258"/>
      <c r="B24" s="259"/>
      <c r="C24" s="260"/>
      <c r="D24" s="260"/>
      <c r="E24" s="260"/>
    </row>
    <row r="25" spans="1:5" ht="15.75" thickBot="1" x14ac:dyDescent="0.3">
      <c r="A25" s="258"/>
      <c r="B25" s="259"/>
      <c r="C25" s="260"/>
      <c r="D25" s="260"/>
      <c r="E25" s="260"/>
    </row>
    <row r="26" spans="1:5" ht="15.75" thickBot="1" x14ac:dyDescent="0.3">
      <c r="A26" s="258"/>
      <c r="B26" s="259"/>
      <c r="C26" s="261"/>
      <c r="D26" s="261"/>
      <c r="E26" s="261"/>
    </row>
    <row r="27" spans="1:5" ht="15.75" thickBot="1" x14ac:dyDescent="0.3">
      <c r="A27" s="258"/>
      <c r="B27" s="259"/>
      <c r="C27" s="260"/>
      <c r="D27" s="260"/>
      <c r="E27" s="260"/>
    </row>
    <row r="28" spans="1:5" ht="15.75" thickBot="1" x14ac:dyDescent="0.3">
      <c r="A28" s="258"/>
      <c r="B28" s="259"/>
      <c r="C28" s="260"/>
      <c r="D28" s="260"/>
      <c r="E28" s="260"/>
    </row>
    <row r="29" spans="1:5" ht="15.75" thickBot="1" x14ac:dyDescent="0.3">
      <c r="A29" s="258"/>
      <c r="B29" s="259"/>
      <c r="C29" s="260"/>
      <c r="D29" s="260"/>
      <c r="E29" s="260"/>
    </row>
    <row r="30" spans="1:5" ht="15.75" thickBot="1" x14ac:dyDescent="0.3">
      <c r="A30" s="258"/>
      <c r="B30" s="259"/>
      <c r="C30" s="261"/>
      <c r="D30" s="261"/>
      <c r="E30" s="261"/>
    </row>
    <row r="31" spans="1:5" ht="15.75" thickBot="1" x14ac:dyDescent="0.3">
      <c r="A31" s="258"/>
      <c r="B31" s="259"/>
      <c r="C31" s="260"/>
      <c r="D31" s="261"/>
      <c r="E31" s="261"/>
    </row>
    <row r="32" spans="1:5" ht="15.75" thickBot="1" x14ac:dyDescent="0.3">
      <c r="A32" s="258"/>
      <c r="B32" s="259"/>
      <c r="C32" s="260"/>
      <c r="D32" s="260"/>
      <c r="E32" s="261"/>
    </row>
    <row r="33" spans="1:5" ht="15.75" thickBot="1" x14ac:dyDescent="0.3">
      <c r="A33" s="258"/>
      <c r="B33" s="259"/>
      <c r="C33" s="260"/>
      <c r="D33" s="260"/>
      <c r="E33" s="261"/>
    </row>
    <row r="34" spans="1:5" ht="15.75" thickBot="1" x14ac:dyDescent="0.3">
      <c r="A34" s="258"/>
      <c r="B34" s="259"/>
      <c r="C34" s="260"/>
      <c r="D34" s="260"/>
      <c r="E34" s="260"/>
    </row>
    <row r="35" spans="1:5" ht="15.75" thickBot="1" x14ac:dyDescent="0.3">
      <c r="A35" s="258"/>
      <c r="B35" s="259"/>
      <c r="C35" s="260"/>
      <c r="D35" s="260"/>
      <c r="E35" s="260"/>
    </row>
    <row r="36" spans="1:5" ht="15.75" thickBot="1" x14ac:dyDescent="0.3">
      <c r="A36" s="258"/>
      <c r="B36" s="259"/>
      <c r="C36" s="260"/>
      <c r="D36" s="260"/>
      <c r="E36" s="260"/>
    </row>
    <row r="37" spans="1:5" ht="15.75" thickBot="1" x14ac:dyDescent="0.3">
      <c r="A37" s="258"/>
      <c r="B37" s="259"/>
      <c r="C37" s="260"/>
      <c r="D37" s="260"/>
      <c r="E37" s="260"/>
    </row>
    <row r="38" spans="1:5" ht="15.75" thickBot="1" x14ac:dyDescent="0.3">
      <c r="A38" s="258"/>
      <c r="B38" s="259"/>
      <c r="C38" s="260"/>
      <c r="D38" s="260"/>
      <c r="E38" s="260"/>
    </row>
    <row r="39" spans="1:5" ht="15.75" thickBot="1" x14ac:dyDescent="0.3">
      <c r="A39" s="258"/>
      <c r="B39" s="259"/>
      <c r="C39" s="260"/>
      <c r="D39" s="260"/>
      <c r="E39" s="260"/>
    </row>
    <row r="40" spans="1:5" ht="15.75" thickBot="1" x14ac:dyDescent="0.3">
      <c r="A40" s="258"/>
      <c r="B40" s="259"/>
      <c r="C40" s="260"/>
      <c r="D40" s="260"/>
      <c r="E40" s="260"/>
    </row>
    <row r="41" spans="1:5" ht="15.75" thickBot="1" x14ac:dyDescent="0.3">
      <c r="A41" s="258"/>
      <c r="B41" s="259"/>
      <c r="C41" s="260"/>
      <c r="D41" s="260"/>
      <c r="E41" s="260"/>
    </row>
    <row r="42" spans="1:5" ht="15.75" thickBot="1" x14ac:dyDescent="0.3">
      <c r="A42" s="258"/>
      <c r="B42" s="259"/>
      <c r="C42" s="260"/>
      <c r="D42" s="260"/>
      <c r="E42" s="260"/>
    </row>
    <row r="43" spans="1:5" ht="15.75" thickBot="1" x14ac:dyDescent="0.3">
      <c r="A43" s="258"/>
      <c r="B43" s="259"/>
      <c r="C43" s="260"/>
      <c r="D43" s="260"/>
      <c r="E43" s="260"/>
    </row>
    <row r="44" spans="1:5" ht="15.75" thickBot="1" x14ac:dyDescent="0.3">
      <c r="A44" s="258"/>
      <c r="B44" s="259"/>
      <c r="C44" s="260"/>
      <c r="D44" s="260"/>
      <c r="E44" s="260"/>
    </row>
    <row r="45" spans="1:5" ht="15.75" thickBot="1" x14ac:dyDescent="0.3">
      <c r="A45" s="258"/>
      <c r="B45" s="259"/>
      <c r="C45" s="261"/>
      <c r="D45" s="261"/>
      <c r="E45" s="261"/>
    </row>
    <row r="46" spans="1:5" ht="15.75" thickBot="1" x14ac:dyDescent="0.3">
      <c r="A46" s="258"/>
      <c r="B46" s="259"/>
      <c r="C46" s="261"/>
      <c r="D46" s="261"/>
      <c r="E46" s="261"/>
    </row>
    <row r="47" spans="1:5" ht="15.75" thickBot="1" x14ac:dyDescent="0.3">
      <c r="A47" s="258"/>
      <c r="B47" s="259"/>
      <c r="C47" s="260"/>
      <c r="D47" s="260"/>
      <c r="E47" s="260"/>
    </row>
    <row r="48" spans="1:5" ht="15.75" thickBot="1" x14ac:dyDescent="0.3">
      <c r="A48" s="258"/>
      <c r="B48" s="259"/>
      <c r="C48" s="260"/>
      <c r="D48" s="260"/>
      <c r="E48" s="260"/>
    </row>
    <row r="49" spans="1:5" ht="15.75" thickBot="1" x14ac:dyDescent="0.3">
      <c r="A49" s="258"/>
      <c r="B49" s="259"/>
      <c r="C49" s="260"/>
      <c r="D49" s="260"/>
      <c r="E49" s="260"/>
    </row>
    <row r="50" spans="1:5" ht="15.75" thickBot="1" x14ac:dyDescent="0.3">
      <c r="A50" s="258"/>
      <c r="B50" s="259"/>
      <c r="C50" s="260"/>
      <c r="D50" s="260"/>
      <c r="E50" s="260"/>
    </row>
    <row r="51" spans="1:5" ht="15.75" thickBot="1" x14ac:dyDescent="0.3">
      <c r="A51" s="258"/>
      <c r="B51" s="259"/>
      <c r="C51" s="260"/>
      <c r="D51" s="260"/>
      <c r="E51" s="260"/>
    </row>
    <row r="52" spans="1:5" ht="15.75" thickBot="1" x14ac:dyDescent="0.3">
      <c r="A52" s="258"/>
      <c r="B52" s="259"/>
      <c r="C52" s="261"/>
      <c r="D52" s="261"/>
      <c r="E52" s="261"/>
    </row>
    <row r="53" spans="1:5" ht="15.75" thickBot="1" x14ac:dyDescent="0.3">
      <c r="A53" s="258"/>
      <c r="B53" s="259"/>
      <c r="C53" s="260"/>
      <c r="D53" s="260"/>
      <c r="E53" s="260"/>
    </row>
    <row r="54" spans="1:5" ht="15.75" thickBot="1" x14ac:dyDescent="0.3">
      <c r="A54" s="258"/>
      <c r="B54" s="259"/>
      <c r="C54" s="260"/>
      <c r="D54" s="260"/>
      <c r="E54" s="260"/>
    </row>
    <row r="55" spans="1:5" ht="15.75" thickBot="1" x14ac:dyDescent="0.3">
      <c r="A55" s="258"/>
      <c r="B55" s="259"/>
      <c r="C55" s="260"/>
      <c r="D55" s="260"/>
      <c r="E55" s="260"/>
    </row>
    <row r="56" spans="1:5" ht="15.75" thickBot="1" x14ac:dyDescent="0.3">
      <c r="A56" s="258"/>
      <c r="B56" s="259"/>
      <c r="C56" s="260"/>
      <c r="D56" s="260"/>
      <c r="E56" s="260"/>
    </row>
    <row r="57" spans="1:5" ht="15.75" thickBot="1" x14ac:dyDescent="0.3">
      <c r="A57" s="258"/>
      <c r="B57" s="259"/>
      <c r="C57" s="261"/>
      <c r="D57" s="261"/>
      <c r="E57" s="261"/>
    </row>
    <row r="58" spans="1:5" ht="15.75" thickBot="1" x14ac:dyDescent="0.3">
      <c r="A58" s="258"/>
      <c r="B58" s="259"/>
      <c r="C58" s="260"/>
      <c r="D58" s="260"/>
      <c r="E58" s="260"/>
    </row>
    <row r="59" spans="1:5" ht="15.75" thickBot="1" x14ac:dyDescent="0.3">
      <c r="A59" s="258"/>
      <c r="B59" s="259"/>
      <c r="C59" s="260"/>
      <c r="D59" s="260"/>
      <c r="E59" s="260"/>
    </row>
    <row r="60" spans="1:5" ht="15.75" thickBot="1" x14ac:dyDescent="0.3">
      <c r="A60" s="258"/>
      <c r="B60" s="259"/>
      <c r="C60" s="261"/>
      <c r="D60" s="261"/>
      <c r="E60" s="261"/>
    </row>
    <row r="61" spans="1:5" ht="15.75" thickBot="1" x14ac:dyDescent="0.3">
      <c r="A61" s="258"/>
      <c r="B61" s="259"/>
      <c r="C61" s="260"/>
      <c r="D61" s="260"/>
      <c r="E61" s="260"/>
    </row>
    <row r="62" spans="1:5" ht="15.75" thickBot="1" x14ac:dyDescent="0.3">
      <c r="A62" s="258"/>
      <c r="B62" s="259"/>
      <c r="C62" s="260"/>
      <c r="D62" s="260"/>
      <c r="E62" s="260"/>
    </row>
    <row r="63" spans="1:5" ht="15.75" thickBot="1" x14ac:dyDescent="0.3">
      <c r="A63" s="258"/>
      <c r="B63" s="259"/>
      <c r="C63" s="261"/>
      <c r="D63" s="261"/>
      <c r="E63" s="261"/>
    </row>
    <row r="64" spans="1:5" ht="15.75" thickBot="1" x14ac:dyDescent="0.3">
      <c r="A64" s="258"/>
      <c r="B64" s="259"/>
      <c r="C64" s="261"/>
      <c r="D64" s="261"/>
      <c r="E64" s="261"/>
    </row>
    <row r="65" spans="1:5" ht="15.75" thickBot="1" x14ac:dyDescent="0.3">
      <c r="A65" s="258"/>
      <c r="B65" s="259"/>
      <c r="C65" s="260"/>
      <c r="D65" s="260"/>
      <c r="E65" s="260"/>
    </row>
    <row r="66" spans="1:5" ht="15.75" thickBot="1" x14ac:dyDescent="0.3">
      <c r="A66" s="258"/>
      <c r="B66" s="259"/>
      <c r="C66" s="260"/>
      <c r="D66" s="260"/>
      <c r="E66" s="260"/>
    </row>
    <row r="67" spans="1:5" ht="15.75" thickBot="1" x14ac:dyDescent="0.3">
      <c r="A67" s="258"/>
      <c r="B67" s="259"/>
      <c r="C67" s="260"/>
      <c r="D67" s="260"/>
      <c r="E67" s="260"/>
    </row>
    <row r="68" spans="1:5" ht="15.75" thickBot="1" x14ac:dyDescent="0.3">
      <c r="A68" s="258"/>
      <c r="B68" s="259"/>
      <c r="C68" s="260"/>
      <c r="D68" s="260"/>
      <c r="E68" s="260"/>
    </row>
    <row r="69" spans="1:5" ht="15.75" thickBot="1" x14ac:dyDescent="0.3">
      <c r="A69" s="258"/>
      <c r="B69" s="259"/>
      <c r="C69" s="261"/>
      <c r="D69" s="261"/>
      <c r="E69" s="261"/>
    </row>
    <row r="70" spans="1:5" ht="15.75" thickBot="1" x14ac:dyDescent="0.3">
      <c r="A70" s="258"/>
      <c r="B70" s="259"/>
      <c r="C70" s="260"/>
      <c r="D70" s="260"/>
      <c r="E70" s="260"/>
    </row>
    <row r="71" spans="1:5" ht="15.75" thickBot="1" x14ac:dyDescent="0.3">
      <c r="A71" s="258"/>
      <c r="B71" s="259"/>
      <c r="C71" s="260"/>
      <c r="D71" s="260"/>
      <c r="E71" s="260"/>
    </row>
    <row r="72" spans="1:5" ht="15.75" thickBot="1" x14ac:dyDescent="0.3">
      <c r="A72" s="258"/>
      <c r="B72" s="259"/>
      <c r="C72" s="260"/>
      <c r="D72" s="260"/>
      <c r="E72" s="260"/>
    </row>
    <row r="73" spans="1:5" ht="15.75" thickBot="1" x14ac:dyDescent="0.3">
      <c r="A73" s="258"/>
      <c r="B73" s="259"/>
      <c r="C73" s="260"/>
      <c r="D73" s="260"/>
      <c r="E73" s="260"/>
    </row>
    <row r="74" spans="1:5" ht="15.75" thickBot="1" x14ac:dyDescent="0.3">
      <c r="A74" s="258"/>
      <c r="B74" s="259"/>
      <c r="C74" s="260"/>
      <c r="D74" s="260"/>
      <c r="E74" s="260"/>
    </row>
    <row r="75" spans="1:5" ht="15.75" thickBot="1" x14ac:dyDescent="0.3">
      <c r="A75" s="258"/>
      <c r="B75" s="259"/>
      <c r="C75" s="260"/>
      <c r="D75" s="260"/>
      <c r="E75" s="260"/>
    </row>
    <row r="76" spans="1:5" ht="15.75" thickBot="1" x14ac:dyDescent="0.3">
      <c r="A76" s="258"/>
      <c r="B76" s="259"/>
      <c r="C76" s="260"/>
      <c r="D76" s="260"/>
      <c r="E76" s="260"/>
    </row>
    <row r="77" spans="1:5" ht="15.75" thickBot="1" x14ac:dyDescent="0.3">
      <c r="A77" s="258"/>
      <c r="B77" s="259"/>
      <c r="C77" s="260"/>
      <c r="D77" s="260"/>
      <c r="E77" s="260"/>
    </row>
    <row r="78" spans="1:5" ht="15.75" thickBot="1" x14ac:dyDescent="0.3">
      <c r="A78" s="258"/>
      <c r="B78" s="259"/>
      <c r="C78" s="260"/>
      <c r="D78" s="260"/>
      <c r="E78" s="260"/>
    </row>
    <row r="79" spans="1:5" ht="15.75" thickBot="1" x14ac:dyDescent="0.3">
      <c r="A79" s="258"/>
      <c r="B79" s="259"/>
      <c r="C79" s="260"/>
      <c r="D79" s="260"/>
      <c r="E79" s="260"/>
    </row>
    <row r="80" spans="1:5" ht="15.75" thickBot="1" x14ac:dyDescent="0.3">
      <c r="A80" s="258"/>
      <c r="B80" s="259"/>
      <c r="C80" s="261"/>
      <c r="D80" s="261"/>
      <c r="E80" s="261"/>
    </row>
    <row r="81" spans="1:5" ht="15.75" thickBot="1" x14ac:dyDescent="0.3">
      <c r="A81" s="258"/>
      <c r="B81" s="259"/>
      <c r="C81" s="261"/>
      <c r="D81" s="261"/>
      <c r="E81" s="261"/>
    </row>
    <row r="82" spans="1:5" ht="15.75" thickBot="1" x14ac:dyDescent="0.3">
      <c r="A82" s="258"/>
      <c r="B82" s="259"/>
      <c r="C82" s="261"/>
      <c r="D82" s="261"/>
      <c r="E82" s="261"/>
    </row>
    <row r="83" spans="1:5" ht="15.75" thickBot="1" x14ac:dyDescent="0.3">
      <c r="A83" s="258"/>
      <c r="B83" s="259"/>
      <c r="C83" s="260"/>
      <c r="D83" s="260"/>
      <c r="E83" s="260"/>
    </row>
    <row r="84" spans="1:5" ht="15.75" thickBot="1" x14ac:dyDescent="0.3">
      <c r="A84" s="258"/>
      <c r="B84" s="259"/>
      <c r="C84" s="260"/>
      <c r="D84" s="260"/>
      <c r="E84" s="260"/>
    </row>
    <row r="85" spans="1:5" ht="15.75" thickBot="1" x14ac:dyDescent="0.3">
      <c r="A85" s="258"/>
      <c r="B85" s="259"/>
      <c r="C85" s="260"/>
      <c r="D85" s="260"/>
      <c r="E85" s="260"/>
    </row>
    <row r="86" spans="1:5" ht="15.75" thickBot="1" x14ac:dyDescent="0.3">
      <c r="A86" s="258"/>
      <c r="B86" s="259"/>
      <c r="C86" s="260"/>
      <c r="D86" s="260"/>
      <c r="E86" s="260"/>
    </row>
    <row r="87" spans="1:5" ht="15.75" thickBot="1" x14ac:dyDescent="0.3">
      <c r="A87" s="258"/>
      <c r="B87" s="259"/>
      <c r="C87" s="260"/>
      <c r="D87" s="260"/>
      <c r="E87" s="260"/>
    </row>
    <row r="88" spans="1:5" ht="15.75" thickBot="1" x14ac:dyDescent="0.3">
      <c r="A88" s="258"/>
      <c r="B88" s="259"/>
      <c r="C88" s="260"/>
      <c r="D88" s="260"/>
      <c r="E88" s="260"/>
    </row>
    <row r="89" spans="1:5" ht="15.75" thickBot="1" x14ac:dyDescent="0.3">
      <c r="A89" s="258"/>
      <c r="B89" s="259"/>
      <c r="C89" s="260"/>
      <c r="D89" s="260"/>
      <c r="E89" s="260"/>
    </row>
    <row r="90" spans="1:5" ht="15.75" thickBot="1" x14ac:dyDescent="0.3">
      <c r="A90" s="258"/>
      <c r="B90" s="259"/>
      <c r="C90" s="261"/>
      <c r="D90" s="261"/>
      <c r="E90" s="261"/>
    </row>
    <row r="91" spans="1:5" ht="15.75" thickBot="1" x14ac:dyDescent="0.3">
      <c r="A91" s="258"/>
      <c r="B91" s="259"/>
      <c r="C91" s="261"/>
      <c r="D91" s="261"/>
      <c r="E91" s="261"/>
    </row>
    <row r="92" spans="1:5" ht="15.75" thickBot="1" x14ac:dyDescent="0.3">
      <c r="A92" s="258"/>
      <c r="B92" s="259"/>
      <c r="C92" s="260"/>
      <c r="D92" s="260"/>
      <c r="E92" s="260"/>
    </row>
    <row r="93" spans="1:5" ht="15.75" thickBot="1" x14ac:dyDescent="0.3">
      <c r="A93" s="258"/>
      <c r="B93" s="259"/>
      <c r="C93" s="260"/>
      <c r="D93" s="260"/>
      <c r="E93" s="260"/>
    </row>
    <row r="94" spans="1:5" ht="15.75" thickBot="1" x14ac:dyDescent="0.3">
      <c r="A94" s="258"/>
      <c r="B94" s="259"/>
      <c r="C94" s="260"/>
      <c r="D94" s="260"/>
      <c r="E94" s="260"/>
    </row>
    <row r="95" spans="1:5" ht="15.75" thickBot="1" x14ac:dyDescent="0.3">
      <c r="A95" s="258"/>
      <c r="B95" s="259"/>
      <c r="C95" s="261"/>
      <c r="D95" s="261"/>
      <c r="E95" s="261"/>
    </row>
    <row r="96" spans="1:5" ht="15.75" thickBot="1" x14ac:dyDescent="0.3">
      <c r="A96" s="258"/>
      <c r="B96" s="259"/>
      <c r="C96" s="260"/>
      <c r="D96" s="260"/>
      <c r="E96" s="260"/>
    </row>
    <row r="97" spans="1:5" ht="15.75" thickBot="1" x14ac:dyDescent="0.3">
      <c r="A97" s="258"/>
      <c r="B97" s="259"/>
      <c r="C97" s="260"/>
      <c r="D97" s="260"/>
      <c r="E97" s="260"/>
    </row>
    <row r="98" spans="1:5" ht="15.75" thickBot="1" x14ac:dyDescent="0.3">
      <c r="A98" s="258"/>
      <c r="B98" s="259"/>
      <c r="C98" s="261"/>
      <c r="D98" s="261"/>
      <c r="E98" s="261"/>
    </row>
    <row r="99" spans="1:5" ht="15.75" thickBot="1" x14ac:dyDescent="0.3">
      <c r="A99" s="258"/>
      <c r="B99" s="259"/>
      <c r="C99" s="260"/>
      <c r="D99" s="260"/>
      <c r="E99" s="260"/>
    </row>
    <row r="100" spans="1:5" ht="15.75" thickBot="1" x14ac:dyDescent="0.3">
      <c r="A100" s="258"/>
      <c r="B100" s="259"/>
      <c r="C100" s="260"/>
      <c r="D100" s="260"/>
      <c r="E100" s="260"/>
    </row>
    <row r="101" spans="1:5" ht="15.75" thickBot="1" x14ac:dyDescent="0.3">
      <c r="A101" s="258"/>
      <c r="B101" s="259"/>
      <c r="C101" s="260"/>
      <c r="D101" s="260"/>
      <c r="E101" s="260"/>
    </row>
    <row r="102" spans="1:5" ht="15.75" thickBot="1" x14ac:dyDescent="0.3">
      <c r="A102" s="258"/>
      <c r="B102" s="259"/>
      <c r="C102" s="260"/>
      <c r="D102" s="260"/>
      <c r="E102" s="260"/>
    </row>
    <row r="103" spans="1:5" ht="15.75" thickBot="1" x14ac:dyDescent="0.3">
      <c r="A103" s="258"/>
      <c r="B103" s="259"/>
      <c r="C103" s="261"/>
      <c r="D103" s="261"/>
      <c r="E103" s="261"/>
    </row>
    <row r="104" spans="1:5" ht="15.75" thickBot="1" x14ac:dyDescent="0.3">
      <c r="A104" s="258"/>
      <c r="B104" s="259"/>
      <c r="C104" s="260"/>
      <c r="D104" s="260"/>
      <c r="E104" s="260"/>
    </row>
  </sheetData>
  <phoneticPr fontId="29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workbookViewId="0">
      <selection activeCell="E1" sqref="C1:E1"/>
    </sheetView>
  </sheetViews>
  <sheetFormatPr defaultRowHeight="15" x14ac:dyDescent="0.25"/>
  <cols>
    <col min="1" max="1" width="8.7109375" bestFit="1" customWidth="1"/>
    <col min="2" max="2" width="56" bestFit="1" customWidth="1"/>
    <col min="3" max="5" width="10.42578125" bestFit="1" customWidth="1"/>
  </cols>
  <sheetData>
    <row r="1" spans="1:5" ht="17.25" thickBot="1" x14ac:dyDescent="0.4">
      <c r="A1" s="332" t="s">
        <v>230</v>
      </c>
      <c r="B1" s="332" t="s">
        <v>231</v>
      </c>
      <c r="C1" s="1"/>
      <c r="D1" s="1"/>
      <c r="E1" s="1"/>
    </row>
    <row r="2" spans="1:5" ht="17.25" thickBot="1" x14ac:dyDescent="0.4">
      <c r="A2" s="332"/>
      <c r="B2" s="332"/>
      <c r="C2" s="1"/>
      <c r="D2" s="1"/>
      <c r="E2" s="1"/>
    </row>
    <row r="3" spans="1:5" ht="17.25" customHeight="1" thickBot="1" x14ac:dyDescent="0.4">
      <c r="A3" s="333"/>
      <c r="B3" s="333"/>
      <c r="C3" s="1">
        <v>41639</v>
      </c>
      <c r="D3" s="1">
        <v>41274</v>
      </c>
      <c r="E3" s="1">
        <v>40908</v>
      </c>
    </row>
    <row r="4" spans="1:5" ht="15.75" thickBot="1" x14ac:dyDescent="0.3">
      <c r="A4" s="258"/>
      <c r="B4" s="259"/>
      <c r="C4" s="261"/>
      <c r="D4" s="261"/>
      <c r="E4" s="261"/>
    </row>
    <row r="5" spans="1:5" ht="15.75" thickBot="1" x14ac:dyDescent="0.3">
      <c r="A5" s="258"/>
      <c r="B5" s="259"/>
      <c r="C5" s="261"/>
      <c r="D5" s="261"/>
      <c r="E5" s="261"/>
    </row>
    <row r="6" spans="1:5" ht="15.75" thickBot="1" x14ac:dyDescent="0.3">
      <c r="A6" s="258"/>
      <c r="B6" s="259"/>
      <c r="C6" s="261"/>
      <c r="D6" s="261"/>
      <c r="E6" s="261"/>
    </row>
    <row r="7" spans="1:5" ht="15.75" thickBot="1" x14ac:dyDescent="0.3">
      <c r="A7" s="258"/>
      <c r="B7" s="259"/>
      <c r="C7" s="261"/>
      <c r="D7" s="261"/>
      <c r="E7" s="261"/>
    </row>
    <row r="8" spans="1:5" ht="15.75" thickBot="1" x14ac:dyDescent="0.3">
      <c r="A8" s="258"/>
      <c r="B8" s="259"/>
      <c r="C8" s="261"/>
      <c r="D8" s="261"/>
      <c r="E8" s="261"/>
    </row>
    <row r="9" spans="1:5" ht="15.75" thickBot="1" x14ac:dyDescent="0.3">
      <c r="A9" s="258"/>
      <c r="B9" s="259"/>
      <c r="C9" s="261"/>
      <c r="D9" s="261"/>
      <c r="E9" s="261"/>
    </row>
    <row r="10" spans="1:5" ht="15.75" customHeight="1" thickBot="1" x14ac:dyDescent="0.3">
      <c r="A10" s="258"/>
      <c r="B10" s="259"/>
      <c r="C10" s="261"/>
      <c r="D10" s="261"/>
      <c r="E10" s="261"/>
    </row>
    <row r="11" spans="1:5" ht="15.75" customHeight="1" thickBot="1" x14ac:dyDescent="0.3">
      <c r="A11" s="258"/>
      <c r="B11" s="259"/>
      <c r="C11" s="261"/>
      <c r="D11" s="261"/>
      <c r="E11" s="261"/>
    </row>
    <row r="12" spans="1:5" ht="15.75" customHeight="1" thickBot="1" x14ac:dyDescent="0.3">
      <c r="A12" s="258"/>
      <c r="B12" s="259"/>
      <c r="C12" s="261"/>
      <c r="D12" s="261"/>
      <c r="E12" s="261"/>
    </row>
    <row r="13" spans="1:5" ht="15.75" thickBot="1" x14ac:dyDescent="0.3">
      <c r="A13" s="258"/>
      <c r="B13" s="259"/>
      <c r="C13" s="260"/>
      <c r="D13" s="260"/>
      <c r="E13" s="260"/>
    </row>
    <row r="14" spans="1:5" ht="15.75" thickBot="1" x14ac:dyDescent="0.3">
      <c r="A14" s="258"/>
      <c r="B14" s="259"/>
      <c r="C14" s="261"/>
      <c r="D14" s="261"/>
      <c r="E14" s="260"/>
    </row>
    <row r="15" spans="1:5" ht="15.75" thickBot="1" x14ac:dyDescent="0.3">
      <c r="A15" s="258"/>
      <c r="B15" s="259"/>
      <c r="C15" s="261"/>
      <c r="D15" s="261"/>
      <c r="E15" s="261"/>
    </row>
    <row r="16" spans="1:5" ht="15.75" thickBot="1" x14ac:dyDescent="0.3">
      <c r="A16" s="258"/>
      <c r="B16" s="259"/>
      <c r="C16" s="260"/>
      <c r="D16" s="260"/>
      <c r="E16" s="260"/>
    </row>
    <row r="17" spans="1:5" ht="15.75" thickBot="1" x14ac:dyDescent="0.3">
      <c r="A17" s="258"/>
      <c r="B17" s="259"/>
      <c r="C17" s="261"/>
      <c r="D17" s="261"/>
      <c r="E17" s="261"/>
    </row>
    <row r="18" spans="1:5" ht="15.75" thickBot="1" x14ac:dyDescent="0.3">
      <c r="A18" s="258"/>
      <c r="B18" s="259"/>
      <c r="C18" s="261"/>
      <c r="D18" s="261"/>
      <c r="E18" s="261"/>
    </row>
    <row r="19" spans="1:5" ht="15.75" thickBot="1" x14ac:dyDescent="0.3">
      <c r="A19" s="258"/>
      <c r="B19" s="259"/>
      <c r="C19" s="261"/>
      <c r="D19" s="261"/>
      <c r="E19" s="261"/>
    </row>
    <row r="20" spans="1:5" ht="15.75" thickBot="1" x14ac:dyDescent="0.3">
      <c r="A20" s="258"/>
      <c r="B20" s="259"/>
      <c r="C20" s="261"/>
      <c r="D20" s="261"/>
      <c r="E20" s="261"/>
    </row>
    <row r="21" spans="1:5" ht="15.75" thickBot="1" x14ac:dyDescent="0.3">
      <c r="A21" s="258"/>
      <c r="B21" s="259"/>
      <c r="C21" s="261"/>
      <c r="D21" s="261"/>
      <c r="E21" s="261"/>
    </row>
    <row r="22" spans="1:5" ht="15.75" thickBot="1" x14ac:dyDescent="0.3">
      <c r="A22" s="258"/>
      <c r="B22" s="259"/>
      <c r="C22" s="261"/>
      <c r="D22" s="261"/>
      <c r="E22" s="261"/>
    </row>
    <row r="23" spans="1:5" ht="15.75" thickBot="1" x14ac:dyDescent="0.3">
      <c r="A23" s="258"/>
      <c r="B23" s="259"/>
      <c r="C23" s="261"/>
      <c r="D23" s="261"/>
      <c r="E23" s="261"/>
    </row>
    <row r="24" spans="1:5" ht="15.75" thickBot="1" x14ac:dyDescent="0.3">
      <c r="A24" s="258"/>
      <c r="B24" s="259"/>
      <c r="C24" s="261"/>
      <c r="D24" s="261"/>
      <c r="E24" s="261"/>
    </row>
    <row r="25" spans="1:5" ht="15.75" thickBot="1" x14ac:dyDescent="0.3">
      <c r="A25" s="258"/>
      <c r="B25" s="259"/>
      <c r="C25" s="261"/>
      <c r="D25" s="261"/>
      <c r="E25" s="261"/>
    </row>
    <row r="26" spans="1:5" ht="15.75" thickBot="1" x14ac:dyDescent="0.3">
      <c r="A26" s="258"/>
      <c r="B26" s="259"/>
      <c r="C26" s="260"/>
      <c r="D26" s="260"/>
      <c r="E26" s="260"/>
    </row>
    <row r="27" spans="1:5" ht="15.75" thickBot="1" x14ac:dyDescent="0.3">
      <c r="A27" s="258"/>
      <c r="B27" s="259"/>
      <c r="C27" s="260"/>
      <c r="D27" s="260"/>
      <c r="E27" s="260"/>
    </row>
    <row r="28" spans="1:5" ht="15.75" thickBot="1" x14ac:dyDescent="0.3">
      <c r="A28" s="258"/>
      <c r="B28" s="259"/>
      <c r="C28" s="260"/>
      <c r="D28" s="260"/>
      <c r="E28" s="260"/>
    </row>
    <row r="29" spans="1:5" ht="15.75" thickBot="1" x14ac:dyDescent="0.3">
      <c r="A29" s="258"/>
      <c r="B29" s="259"/>
      <c r="C29" s="261"/>
      <c r="D29" s="261"/>
      <c r="E29" s="261"/>
    </row>
    <row r="30" spans="1:5" ht="15.75" thickBot="1" x14ac:dyDescent="0.3">
      <c r="A30" s="258"/>
      <c r="B30" s="259"/>
      <c r="C30" s="261"/>
      <c r="D30" s="261"/>
      <c r="E30" s="261"/>
    </row>
    <row r="31" spans="1:5" ht="15.75" thickBot="1" x14ac:dyDescent="0.3">
      <c r="A31" s="258"/>
      <c r="B31" s="259"/>
      <c r="C31" s="260"/>
      <c r="D31" s="260"/>
      <c r="E31" s="260"/>
    </row>
    <row r="32" spans="1:5" ht="15.75" thickBot="1" x14ac:dyDescent="0.3">
      <c r="A32" s="258"/>
      <c r="B32" s="259"/>
      <c r="C32" s="260"/>
      <c r="D32" s="260"/>
      <c r="E32" s="260"/>
    </row>
    <row r="33" spans="1:5" ht="15.75" thickBot="1" x14ac:dyDescent="0.3">
      <c r="A33" s="258"/>
      <c r="B33" s="259"/>
      <c r="C33" s="260"/>
      <c r="D33" s="260"/>
      <c r="E33" s="260"/>
    </row>
    <row r="34" spans="1:5" ht="15.75" customHeight="1" thickBot="1" x14ac:dyDescent="0.3">
      <c r="A34" s="258"/>
      <c r="B34" s="259"/>
      <c r="C34" s="260"/>
      <c r="D34" s="260"/>
      <c r="E34" s="260"/>
    </row>
    <row r="35" spans="1:5" ht="15.75" thickBot="1" x14ac:dyDescent="0.3">
      <c r="A35" s="258"/>
      <c r="B35" s="259"/>
      <c r="C35" s="260"/>
      <c r="D35" s="260"/>
      <c r="E35" s="260"/>
    </row>
    <row r="36" spans="1:5" ht="15.75" customHeight="1" thickBot="1" x14ac:dyDescent="0.3">
      <c r="A36" s="258"/>
      <c r="B36" s="259"/>
      <c r="C36" s="260"/>
      <c r="D36" s="260"/>
      <c r="E36" s="260"/>
    </row>
  </sheetData>
  <mergeCells count="2">
    <mergeCell ref="A1:A3"/>
    <mergeCell ref="B1:B3"/>
  </mergeCells>
  <phoneticPr fontId="2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3"/>
  <sheetViews>
    <sheetView workbookViewId="0">
      <selection activeCell="E1" sqref="C1:E1"/>
    </sheetView>
  </sheetViews>
  <sheetFormatPr defaultRowHeight="15" x14ac:dyDescent="0.25"/>
  <cols>
    <col min="1" max="1" width="8.7109375" bestFit="1" customWidth="1"/>
    <col min="2" max="2" width="78.140625" bestFit="1" customWidth="1"/>
    <col min="3" max="5" width="10.42578125" bestFit="1" customWidth="1"/>
  </cols>
  <sheetData>
    <row r="1" spans="1:5" ht="16.5" x14ac:dyDescent="0.35">
      <c r="A1" s="332"/>
      <c r="B1" s="332" t="s">
        <v>231</v>
      </c>
      <c r="C1" s="2"/>
      <c r="D1" s="2"/>
      <c r="E1" s="2"/>
    </row>
    <row r="2" spans="1:5" ht="16.5" x14ac:dyDescent="0.35">
      <c r="A2" s="332"/>
      <c r="B2" s="332"/>
      <c r="C2" s="262"/>
      <c r="D2" s="262"/>
      <c r="E2" s="262"/>
    </row>
    <row r="3" spans="1:5" ht="17.25" thickBot="1" x14ac:dyDescent="0.4">
      <c r="A3" s="333"/>
      <c r="B3" s="333"/>
      <c r="C3" s="1">
        <v>41639</v>
      </c>
      <c r="D3" s="1">
        <v>41274</v>
      </c>
      <c r="E3" s="1">
        <v>40908</v>
      </c>
    </row>
    <row r="4" spans="1:5" ht="15.75" thickBot="1" x14ac:dyDescent="0.3">
      <c r="A4" s="258"/>
      <c r="B4" s="259"/>
      <c r="C4" s="261"/>
      <c r="D4" s="261"/>
      <c r="E4" s="261"/>
    </row>
    <row r="5" spans="1:5" ht="15.75" thickBot="1" x14ac:dyDescent="0.3">
      <c r="A5" s="258"/>
      <c r="B5" s="259"/>
      <c r="C5" s="261"/>
      <c r="D5" s="261"/>
      <c r="E5" s="261"/>
    </row>
    <row r="6" spans="1:5" ht="15.75" thickBot="1" x14ac:dyDescent="0.3">
      <c r="A6" s="258"/>
      <c r="B6" s="259"/>
      <c r="C6" s="261"/>
      <c r="D6" s="261"/>
      <c r="E6" s="261"/>
    </row>
    <row r="7" spans="1:5" ht="15.75" thickBot="1" x14ac:dyDescent="0.3">
      <c r="A7" s="258"/>
      <c r="B7" s="259"/>
      <c r="C7" s="261"/>
      <c r="D7" s="261"/>
      <c r="E7" s="261"/>
    </row>
    <row r="8" spans="1:5" ht="15.75" thickBot="1" x14ac:dyDescent="0.3">
      <c r="A8" s="258"/>
      <c r="B8" s="259"/>
      <c r="C8" s="261"/>
      <c r="D8" s="261"/>
      <c r="E8" s="261"/>
    </row>
    <row r="9" spans="1:5" ht="15.75" thickBot="1" x14ac:dyDescent="0.3">
      <c r="A9" s="258"/>
      <c r="B9" s="259"/>
      <c r="C9" s="261"/>
      <c r="D9" s="261"/>
      <c r="E9" s="261"/>
    </row>
    <row r="10" spans="1:5" ht="15.75" thickBot="1" x14ac:dyDescent="0.3">
      <c r="A10" s="258"/>
      <c r="B10" s="259"/>
      <c r="C10" s="261"/>
      <c r="D10" s="261"/>
      <c r="E10" s="261"/>
    </row>
    <row r="11" spans="1:5" ht="15.75" thickBot="1" x14ac:dyDescent="0.3">
      <c r="A11" s="258"/>
      <c r="B11" s="259"/>
      <c r="C11" s="261"/>
      <c r="D11" s="261"/>
      <c r="E11" s="261"/>
    </row>
    <row r="12" spans="1:5" ht="15.75" thickBot="1" x14ac:dyDescent="0.3">
      <c r="A12" s="258"/>
      <c r="B12" s="259"/>
      <c r="C12" s="261"/>
      <c r="D12" s="261"/>
      <c r="E12" s="261"/>
    </row>
    <row r="13" spans="1:5" ht="15.75" thickBot="1" x14ac:dyDescent="0.3">
      <c r="A13" s="258"/>
      <c r="B13" s="259"/>
      <c r="C13" s="261"/>
      <c r="D13" s="261"/>
      <c r="E13" s="261"/>
    </row>
    <row r="14" spans="1:5" ht="15.75" thickBot="1" x14ac:dyDescent="0.3">
      <c r="A14" s="258"/>
      <c r="B14" s="259"/>
      <c r="C14" s="261"/>
      <c r="D14" s="261"/>
      <c r="E14" s="261"/>
    </row>
    <row r="15" spans="1:5" ht="15.75" thickBot="1" x14ac:dyDescent="0.3">
      <c r="A15" s="258"/>
      <c r="B15" s="259"/>
      <c r="C15" s="260"/>
      <c r="D15" s="260"/>
      <c r="E15" s="261"/>
    </row>
    <row r="16" spans="1:5" ht="15.75" thickBot="1" x14ac:dyDescent="0.3">
      <c r="A16" s="258"/>
      <c r="B16" s="259"/>
      <c r="C16" s="261"/>
      <c r="D16" s="261"/>
      <c r="E16" s="261"/>
    </row>
    <row r="17" spans="1:5" ht="15.75" thickBot="1" x14ac:dyDescent="0.3">
      <c r="A17" s="258"/>
      <c r="B17" s="259"/>
      <c r="C17" s="261"/>
      <c r="D17" s="261"/>
      <c r="E17" s="261"/>
    </row>
    <row r="18" spans="1:5" ht="15.75" thickBot="1" x14ac:dyDescent="0.3">
      <c r="A18" s="258"/>
      <c r="B18" s="259"/>
      <c r="C18" s="261"/>
      <c r="D18" s="261"/>
      <c r="E18" s="260"/>
    </row>
    <row r="19" spans="1:5" ht="15.75" thickBot="1" x14ac:dyDescent="0.3">
      <c r="A19" s="258"/>
      <c r="B19" s="259"/>
      <c r="C19" s="261"/>
      <c r="D19" s="261"/>
      <c r="E19" s="261"/>
    </row>
    <row r="20" spans="1:5" ht="15.75" thickBot="1" x14ac:dyDescent="0.3">
      <c r="A20" s="258"/>
      <c r="B20" s="259"/>
      <c r="C20" s="261"/>
      <c r="D20" s="261"/>
      <c r="E20" s="261"/>
    </row>
    <row r="21" spans="1:5" ht="15.75" thickBot="1" x14ac:dyDescent="0.3">
      <c r="A21" s="258"/>
      <c r="B21" s="259"/>
      <c r="C21" s="261"/>
      <c r="D21" s="261"/>
      <c r="E21" s="261"/>
    </row>
    <row r="22" spans="1:5" ht="15.75" thickBot="1" x14ac:dyDescent="0.3">
      <c r="A22" s="258"/>
      <c r="B22" s="259"/>
      <c r="C22" s="261"/>
      <c r="D22" s="261"/>
      <c r="E22" s="261"/>
    </row>
    <row r="23" spans="1:5" ht="15.75" thickBot="1" x14ac:dyDescent="0.3">
      <c r="A23" s="258"/>
      <c r="B23" s="259"/>
      <c r="C23" s="261"/>
      <c r="D23" s="261"/>
      <c r="E23" s="261"/>
    </row>
    <row r="24" spans="1:5" ht="15.75" thickBot="1" x14ac:dyDescent="0.3">
      <c r="A24" s="258"/>
      <c r="B24" s="259"/>
      <c r="C24" s="260"/>
      <c r="D24" s="261"/>
      <c r="E24" s="261"/>
    </row>
    <row r="25" spans="1:5" ht="15.75" thickBot="1" x14ac:dyDescent="0.3">
      <c r="A25" s="258"/>
      <c r="B25" s="259"/>
      <c r="C25" s="260"/>
      <c r="D25" s="261"/>
      <c r="E25" s="261"/>
    </row>
    <row r="26" spans="1:5" ht="15.75" thickBot="1" x14ac:dyDescent="0.3">
      <c r="A26" s="258"/>
      <c r="B26" s="259"/>
      <c r="C26" s="261"/>
      <c r="D26" s="261"/>
      <c r="E26" s="261"/>
    </row>
    <row r="27" spans="1:5" ht="15.75" thickBot="1" x14ac:dyDescent="0.3">
      <c r="A27" s="258"/>
      <c r="B27" s="259"/>
      <c r="C27" s="261"/>
      <c r="D27" s="261"/>
      <c r="E27" s="261"/>
    </row>
    <row r="28" spans="1:5" ht="15.75" thickBot="1" x14ac:dyDescent="0.3">
      <c r="A28" s="258"/>
      <c r="B28" s="259"/>
      <c r="C28" s="261"/>
      <c r="D28" s="261"/>
      <c r="E28" s="261"/>
    </row>
    <row r="29" spans="1:5" ht="15.75" thickBot="1" x14ac:dyDescent="0.3">
      <c r="A29" s="258"/>
      <c r="B29" s="259"/>
      <c r="C29" s="261"/>
      <c r="D29" s="261"/>
      <c r="E29" s="261"/>
    </row>
    <row r="30" spans="1:5" ht="15.75" thickBot="1" x14ac:dyDescent="0.3">
      <c r="A30" s="258"/>
      <c r="B30" s="259"/>
      <c r="C30" s="261"/>
      <c r="D30" s="261"/>
      <c r="E30" s="261"/>
    </row>
    <row r="31" spans="1:5" ht="15.75" thickBot="1" x14ac:dyDescent="0.3">
      <c r="A31" s="258"/>
      <c r="B31" s="259"/>
      <c r="C31" s="260"/>
      <c r="D31" s="261"/>
      <c r="E31" s="261"/>
    </row>
    <row r="32" spans="1:5" ht="15.75" thickBot="1" x14ac:dyDescent="0.3">
      <c r="A32" s="258"/>
      <c r="B32" s="259"/>
      <c r="C32" s="260"/>
      <c r="D32" s="260"/>
      <c r="E32" s="261"/>
    </row>
    <row r="33" spans="1:5" ht="15.75" thickBot="1" x14ac:dyDescent="0.3">
      <c r="A33" s="258"/>
      <c r="B33" s="259"/>
      <c r="C33" s="261"/>
      <c r="D33" s="261"/>
      <c r="E33" s="261"/>
    </row>
    <row r="34" spans="1:5" ht="15.75" thickBot="1" x14ac:dyDescent="0.3">
      <c r="A34" s="258"/>
      <c r="B34" s="259"/>
      <c r="C34" s="261"/>
      <c r="D34" s="261"/>
      <c r="E34" s="261"/>
    </row>
    <row r="35" spans="1:5" ht="15.75" thickBot="1" x14ac:dyDescent="0.3">
      <c r="A35" s="258"/>
      <c r="B35" s="259"/>
      <c r="C35" s="261"/>
      <c r="D35" s="261"/>
      <c r="E35" s="261"/>
    </row>
    <row r="36" spans="1:5" ht="15.75" thickBot="1" x14ac:dyDescent="0.3">
      <c r="A36" s="258"/>
      <c r="B36" s="259"/>
      <c r="C36" s="261"/>
      <c r="D36" s="261"/>
      <c r="E36" s="261"/>
    </row>
    <row r="37" spans="1:5" ht="15.75" thickBot="1" x14ac:dyDescent="0.3">
      <c r="A37" s="258"/>
      <c r="B37" s="259"/>
      <c r="C37" s="261"/>
      <c r="D37" s="261"/>
      <c r="E37" s="261"/>
    </row>
    <row r="38" spans="1:5" ht="15.75" thickBot="1" x14ac:dyDescent="0.3">
      <c r="A38" s="258"/>
      <c r="B38" s="259"/>
      <c r="C38" s="261"/>
      <c r="D38" s="261"/>
      <c r="E38" s="261"/>
    </row>
    <row r="39" spans="1:5" ht="15.75" thickBot="1" x14ac:dyDescent="0.3">
      <c r="A39" s="258"/>
      <c r="B39" s="259"/>
      <c r="C39" s="261"/>
      <c r="D39" s="261"/>
      <c r="E39" s="261"/>
    </row>
    <row r="40" spans="1:5" ht="15.75" thickBot="1" x14ac:dyDescent="0.3">
      <c r="A40" s="258"/>
      <c r="B40" s="259"/>
      <c r="C40" s="261"/>
      <c r="D40" s="261"/>
      <c r="E40" s="261"/>
    </row>
    <row r="41" spans="1:5" ht="15.75" thickBot="1" x14ac:dyDescent="0.3">
      <c r="A41" s="258"/>
      <c r="B41" s="259"/>
      <c r="C41" s="261"/>
      <c r="D41" s="260"/>
      <c r="E41" s="260"/>
    </row>
    <row r="42" spans="1:5" ht="15.75" thickBot="1" x14ac:dyDescent="0.3">
      <c r="A42" s="258"/>
      <c r="B42" s="259"/>
      <c r="C42" s="261"/>
      <c r="D42" s="260"/>
      <c r="E42" s="260"/>
    </row>
    <row r="43" spans="1:5" ht="15.75" thickBot="1" x14ac:dyDescent="0.3">
      <c r="A43" s="258"/>
      <c r="B43" s="259"/>
      <c r="C43" s="261"/>
      <c r="D43" s="261"/>
      <c r="E43" s="261"/>
    </row>
    <row r="44" spans="1:5" ht="15.75" thickBot="1" x14ac:dyDescent="0.3">
      <c r="A44" s="258"/>
      <c r="B44" s="259"/>
      <c r="C44" s="261"/>
      <c r="D44" s="261"/>
      <c r="E44" s="261"/>
    </row>
    <row r="45" spans="1:5" ht="15.75" thickBot="1" x14ac:dyDescent="0.3">
      <c r="A45" s="258"/>
      <c r="B45" s="259"/>
      <c r="C45" s="261"/>
      <c r="D45" s="261"/>
      <c r="E45" s="261"/>
    </row>
    <row r="46" spans="1:5" ht="15.75" thickBot="1" x14ac:dyDescent="0.3">
      <c r="A46" s="258"/>
      <c r="B46" s="259"/>
      <c r="C46" s="261"/>
      <c r="D46" s="261"/>
      <c r="E46" s="261"/>
    </row>
    <row r="47" spans="1:5" ht="15.75" thickBot="1" x14ac:dyDescent="0.3">
      <c r="A47" s="258"/>
      <c r="B47" s="259"/>
      <c r="C47" s="261"/>
      <c r="D47" s="261"/>
      <c r="E47" s="261"/>
    </row>
    <row r="48" spans="1:5" ht="15.75" thickBot="1" x14ac:dyDescent="0.3">
      <c r="A48" s="258"/>
      <c r="B48" s="259"/>
      <c r="C48" s="261"/>
      <c r="D48" s="261"/>
      <c r="E48" s="260"/>
    </row>
    <row r="49" spans="1:5" ht="15.75" thickBot="1" x14ac:dyDescent="0.3">
      <c r="A49" s="258"/>
      <c r="B49" s="259"/>
      <c r="C49" s="261"/>
      <c r="D49" s="261"/>
      <c r="E49" s="260"/>
    </row>
    <row r="50" spans="1:5" ht="15.75" thickBot="1" x14ac:dyDescent="0.3">
      <c r="A50" s="258"/>
      <c r="B50" s="259"/>
      <c r="C50" s="261"/>
      <c r="D50" s="261"/>
      <c r="E50" s="261"/>
    </row>
    <row r="51" spans="1:5" ht="15.75" thickBot="1" x14ac:dyDescent="0.3">
      <c r="A51" s="258"/>
      <c r="B51" s="259"/>
      <c r="C51" s="261"/>
      <c r="D51" s="261"/>
      <c r="E51" s="261"/>
    </row>
    <row r="52" spans="1:5" ht="15.75" thickBot="1" x14ac:dyDescent="0.3">
      <c r="A52" s="258"/>
      <c r="B52" s="259"/>
      <c r="C52" s="261"/>
      <c r="D52" s="261"/>
      <c r="E52" s="261"/>
    </row>
    <row r="53" spans="1:5" ht="15.75" thickBot="1" x14ac:dyDescent="0.3">
      <c r="A53" s="258"/>
      <c r="B53" s="259"/>
      <c r="C53" s="261"/>
      <c r="D53" s="261"/>
      <c r="E53" s="261"/>
    </row>
  </sheetData>
  <mergeCells count="2">
    <mergeCell ref="A1:A3"/>
    <mergeCell ref="B1:B3"/>
  </mergeCells>
  <phoneticPr fontId="29" type="noConversion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3"/>
  <sheetViews>
    <sheetView workbookViewId="0">
      <selection activeCell="E1" sqref="C1:E1"/>
    </sheetView>
  </sheetViews>
  <sheetFormatPr defaultRowHeight="15" x14ac:dyDescent="0.25"/>
  <cols>
    <col min="1" max="1" width="9.85546875" bestFit="1" customWidth="1"/>
    <col min="2" max="2" width="41.85546875" bestFit="1" customWidth="1"/>
    <col min="3" max="5" width="10.42578125" bestFit="1" customWidth="1"/>
  </cols>
  <sheetData>
    <row r="1" spans="1:5" ht="16.5" x14ac:dyDescent="0.35">
      <c r="A1" s="332" t="s">
        <v>230</v>
      </c>
      <c r="B1" s="332" t="s">
        <v>231</v>
      </c>
      <c r="C1" s="2"/>
      <c r="D1" s="2"/>
      <c r="E1" s="2"/>
    </row>
    <row r="2" spans="1:5" ht="16.5" x14ac:dyDescent="0.35">
      <c r="A2" s="332"/>
      <c r="B2" s="332"/>
      <c r="C2" s="262"/>
      <c r="D2" s="262"/>
      <c r="E2" s="262"/>
    </row>
    <row r="3" spans="1:5" ht="17.25" thickBot="1" x14ac:dyDescent="0.4">
      <c r="A3" s="333"/>
      <c r="B3" s="333"/>
      <c r="C3" s="1">
        <v>41639</v>
      </c>
      <c r="D3" s="1">
        <v>41274</v>
      </c>
      <c r="E3" s="1">
        <v>40908</v>
      </c>
    </row>
    <row r="4" spans="1:5" ht="15.75" thickBot="1" x14ac:dyDescent="0.3">
      <c r="A4" s="258"/>
      <c r="B4" s="259"/>
      <c r="C4" s="261"/>
      <c r="D4" s="261"/>
      <c r="E4" s="261"/>
    </row>
    <row r="5" spans="1:5" ht="15.75" thickBot="1" x14ac:dyDescent="0.3">
      <c r="A5" s="258"/>
      <c r="B5" s="259"/>
      <c r="C5" s="261"/>
      <c r="D5" s="261"/>
      <c r="E5" s="261"/>
    </row>
    <row r="6" spans="1:5" ht="15.75" thickBot="1" x14ac:dyDescent="0.3">
      <c r="A6" s="258"/>
      <c r="B6" s="259"/>
      <c r="C6" s="261"/>
      <c r="D6" s="261"/>
      <c r="E6" s="261"/>
    </row>
    <row r="7" spans="1:5" ht="15.75" thickBot="1" x14ac:dyDescent="0.3">
      <c r="A7" s="258"/>
      <c r="B7" s="259"/>
      <c r="C7" s="260"/>
      <c r="D7" s="260"/>
      <c r="E7" s="260"/>
    </row>
    <row r="8" spans="1:5" ht="15.75" thickBot="1" x14ac:dyDescent="0.3">
      <c r="A8" s="258"/>
      <c r="B8" s="259"/>
      <c r="C8" s="261"/>
      <c r="D8" s="261"/>
      <c r="E8" s="261"/>
    </row>
    <row r="9" spans="1:5" ht="15.75" thickBot="1" x14ac:dyDescent="0.3">
      <c r="A9" s="258"/>
      <c r="B9" s="259"/>
      <c r="C9" s="261"/>
      <c r="D9" s="261"/>
      <c r="E9" s="261"/>
    </row>
    <row r="10" spans="1:5" ht="15.75" thickBot="1" x14ac:dyDescent="0.3">
      <c r="A10" s="258"/>
      <c r="B10" s="259"/>
      <c r="C10" s="261"/>
      <c r="D10" s="261"/>
      <c r="E10" s="261"/>
    </row>
    <row r="11" spans="1:5" ht="15.75" thickBot="1" x14ac:dyDescent="0.3">
      <c r="A11" s="258"/>
      <c r="B11" s="259"/>
      <c r="C11" s="261"/>
      <c r="D11" s="261"/>
      <c r="E11" s="261"/>
    </row>
    <row r="12" spans="1:5" ht="15.75" thickBot="1" x14ac:dyDescent="0.3">
      <c r="A12" s="258"/>
      <c r="B12" s="259"/>
      <c r="C12" s="260"/>
      <c r="D12" s="260"/>
      <c r="E12" s="260"/>
    </row>
    <row r="13" spans="1:5" ht="15.75" thickBot="1" x14ac:dyDescent="0.3">
      <c r="A13" s="258"/>
      <c r="B13" s="259"/>
      <c r="C13" s="260"/>
      <c r="D13" s="260"/>
      <c r="E13" s="260"/>
    </row>
    <row r="14" spans="1:5" ht="15.75" thickBot="1" x14ac:dyDescent="0.3">
      <c r="A14" s="258"/>
      <c r="B14" s="259"/>
      <c r="C14" s="261"/>
      <c r="D14" s="261"/>
      <c r="E14" s="261"/>
    </row>
    <row r="15" spans="1:5" ht="15.75" thickBot="1" x14ac:dyDescent="0.3">
      <c r="A15" s="258"/>
      <c r="B15" s="259"/>
      <c r="C15" s="261"/>
      <c r="D15" s="261"/>
      <c r="E15" s="261"/>
    </row>
    <row r="16" spans="1:5" ht="15.75" thickBot="1" x14ac:dyDescent="0.3">
      <c r="A16" s="258"/>
      <c r="B16" s="259"/>
      <c r="C16" s="261"/>
      <c r="D16" s="261"/>
      <c r="E16" s="261"/>
    </row>
    <row r="17" spans="1:5" ht="15.75" thickBot="1" x14ac:dyDescent="0.3">
      <c r="A17" s="258"/>
      <c r="B17" s="259"/>
      <c r="C17" s="260"/>
      <c r="D17" s="260"/>
      <c r="E17" s="260"/>
    </row>
    <row r="18" spans="1:5" ht="15.75" thickBot="1" x14ac:dyDescent="0.3">
      <c r="A18" s="258"/>
      <c r="B18" s="259"/>
      <c r="C18" s="261"/>
      <c r="D18" s="261"/>
      <c r="E18" s="261"/>
    </row>
    <row r="19" spans="1:5" ht="15.75" thickBot="1" x14ac:dyDescent="0.3">
      <c r="A19" s="258"/>
      <c r="B19" s="259"/>
      <c r="C19" s="261"/>
      <c r="D19" s="261"/>
      <c r="E19" s="261"/>
    </row>
    <row r="20" spans="1:5" ht="15.75" thickBot="1" x14ac:dyDescent="0.3">
      <c r="A20" s="258"/>
      <c r="B20" s="259"/>
      <c r="C20" s="260"/>
      <c r="D20" s="260"/>
      <c r="E20" s="260"/>
    </row>
    <row r="21" spans="1:5" ht="15.75" thickBot="1" x14ac:dyDescent="0.3">
      <c r="A21" s="258"/>
      <c r="B21" s="259"/>
      <c r="C21" s="261"/>
      <c r="D21" s="261"/>
      <c r="E21" s="261"/>
    </row>
    <row r="22" spans="1:5" ht="15.75" thickBot="1" x14ac:dyDescent="0.3">
      <c r="A22" s="258"/>
      <c r="B22" s="259"/>
      <c r="C22" s="260"/>
      <c r="D22" s="260"/>
      <c r="E22" s="260"/>
    </row>
    <row r="23" spans="1:5" ht="15.75" thickBot="1" x14ac:dyDescent="0.3">
      <c r="A23" s="258"/>
      <c r="B23" s="259"/>
      <c r="C23" s="261"/>
      <c r="D23" s="261"/>
      <c r="E23" s="261"/>
    </row>
    <row r="24" spans="1:5" ht="15.75" thickBot="1" x14ac:dyDescent="0.3">
      <c r="A24" s="258"/>
      <c r="B24" s="259"/>
      <c r="C24" s="261"/>
      <c r="D24" s="261"/>
      <c r="E24" s="261"/>
    </row>
    <row r="25" spans="1:5" ht="15.75" thickBot="1" x14ac:dyDescent="0.3">
      <c r="A25" s="258"/>
      <c r="B25" s="259"/>
      <c r="C25" s="261"/>
      <c r="D25" s="261"/>
      <c r="E25" s="261"/>
    </row>
    <row r="26" spans="1:5" ht="15.75" thickBot="1" x14ac:dyDescent="0.3">
      <c r="A26" s="258"/>
      <c r="B26" s="259"/>
      <c r="C26" s="260"/>
      <c r="D26" s="260"/>
      <c r="E26" s="260"/>
    </row>
    <row r="27" spans="1:5" ht="15.75" thickBot="1" x14ac:dyDescent="0.3">
      <c r="A27" s="258"/>
      <c r="B27" s="259"/>
      <c r="C27" s="260"/>
      <c r="D27" s="260"/>
      <c r="E27" s="260"/>
    </row>
    <row r="28" spans="1:5" ht="15.75" thickBot="1" x14ac:dyDescent="0.3">
      <c r="A28" s="258"/>
      <c r="B28" s="259"/>
      <c r="C28" s="260"/>
      <c r="D28" s="260"/>
      <c r="E28" s="260"/>
    </row>
    <row r="29" spans="1:5" ht="15.75" thickBot="1" x14ac:dyDescent="0.3">
      <c r="A29" s="258"/>
      <c r="B29" s="259"/>
      <c r="C29" s="260"/>
      <c r="D29" s="260"/>
      <c r="E29" s="260"/>
    </row>
    <row r="30" spans="1:5" ht="15.75" thickBot="1" x14ac:dyDescent="0.3">
      <c r="A30" s="258"/>
      <c r="B30" s="259"/>
      <c r="C30" s="261"/>
      <c r="D30" s="261"/>
      <c r="E30" s="261"/>
    </row>
    <row r="31" spans="1:5" ht="15.75" thickBot="1" x14ac:dyDescent="0.3">
      <c r="A31" s="258"/>
      <c r="B31" s="259"/>
      <c r="C31" s="260"/>
      <c r="D31" s="260"/>
      <c r="E31" s="260"/>
    </row>
    <row r="32" spans="1:5" ht="15.75" thickBot="1" x14ac:dyDescent="0.3">
      <c r="A32" s="258"/>
      <c r="B32" s="259"/>
      <c r="C32" s="260"/>
      <c r="D32" s="260"/>
      <c r="E32" s="260"/>
    </row>
    <row r="33" spans="1:5" ht="15.75" thickBot="1" x14ac:dyDescent="0.3">
      <c r="A33" s="258"/>
      <c r="B33" s="259"/>
      <c r="C33" s="260"/>
      <c r="D33" s="260"/>
      <c r="E33" s="260"/>
    </row>
    <row r="34" spans="1:5" ht="15.75" thickBot="1" x14ac:dyDescent="0.3">
      <c r="A34" s="258"/>
      <c r="B34" s="259"/>
      <c r="C34" s="261"/>
      <c r="D34" s="261"/>
      <c r="E34" s="261"/>
    </row>
    <row r="35" spans="1:5" ht="15.75" thickBot="1" x14ac:dyDescent="0.3">
      <c r="A35" s="258"/>
      <c r="B35" s="259"/>
      <c r="C35" s="260"/>
      <c r="D35" s="260"/>
      <c r="E35" s="260"/>
    </row>
    <row r="36" spans="1:5" ht="15.75" thickBot="1" x14ac:dyDescent="0.3">
      <c r="A36" s="258"/>
      <c r="B36" s="259"/>
      <c r="C36" s="260"/>
      <c r="D36" s="260"/>
      <c r="E36" s="260"/>
    </row>
    <row r="37" spans="1:5" ht="15.75" thickBot="1" x14ac:dyDescent="0.3">
      <c r="A37" s="258"/>
      <c r="B37" s="259"/>
      <c r="C37" s="260"/>
      <c r="D37" s="260"/>
      <c r="E37" s="260"/>
    </row>
    <row r="38" spans="1:5" ht="15.75" thickBot="1" x14ac:dyDescent="0.3">
      <c r="A38" s="258"/>
      <c r="B38" s="259"/>
      <c r="C38" s="261"/>
      <c r="D38" s="261"/>
      <c r="E38" s="261"/>
    </row>
    <row r="39" spans="1:5" ht="15.75" thickBot="1" x14ac:dyDescent="0.3">
      <c r="A39" s="258"/>
      <c r="B39" s="259"/>
      <c r="C39" s="260"/>
      <c r="D39" s="260"/>
      <c r="E39" s="260"/>
    </row>
    <row r="40" spans="1:5" ht="15.75" thickBot="1" x14ac:dyDescent="0.3">
      <c r="A40" s="258"/>
      <c r="B40" s="259"/>
      <c r="C40" s="260"/>
      <c r="D40" s="260"/>
      <c r="E40" s="260"/>
    </row>
    <row r="41" spans="1:5" ht="15.75" thickBot="1" x14ac:dyDescent="0.3">
      <c r="A41" s="258"/>
      <c r="B41" s="259"/>
      <c r="C41" s="260"/>
      <c r="D41" s="260"/>
      <c r="E41" s="260"/>
    </row>
    <row r="42" spans="1:5" ht="15.75" thickBot="1" x14ac:dyDescent="0.3">
      <c r="A42" s="258"/>
      <c r="B42" s="259"/>
      <c r="C42" s="260"/>
      <c r="D42" s="260"/>
      <c r="E42" s="260"/>
    </row>
    <row r="43" spans="1:5" ht="15.75" thickBot="1" x14ac:dyDescent="0.3">
      <c r="A43" s="258"/>
      <c r="B43" s="259"/>
      <c r="C43" s="260"/>
      <c r="D43" s="260"/>
      <c r="E43" s="260"/>
    </row>
  </sheetData>
  <mergeCells count="2">
    <mergeCell ref="A1:A3"/>
    <mergeCell ref="B1:B3"/>
  </mergeCells>
  <phoneticPr fontId="2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7"/>
  <sheetViews>
    <sheetView workbookViewId="0">
      <selection activeCell="E1" sqref="C1:E1"/>
    </sheetView>
  </sheetViews>
  <sheetFormatPr defaultColWidth="34" defaultRowHeight="15" x14ac:dyDescent="0.25"/>
  <cols>
    <col min="1" max="1" width="19.7109375" bestFit="1" customWidth="1"/>
    <col min="2" max="2" width="20.5703125" bestFit="1" customWidth="1"/>
    <col min="3" max="3" width="5.140625" customWidth="1"/>
  </cols>
  <sheetData>
    <row r="1" spans="1:10" ht="17.25" thickBot="1" x14ac:dyDescent="0.4">
      <c r="A1" s="265"/>
      <c r="B1" s="314"/>
      <c r="D1" s="265" t="s">
        <v>306</v>
      </c>
      <c r="E1" s="314"/>
    </row>
    <row r="2" spans="1:10" ht="30" x14ac:dyDescent="0.35">
      <c r="A2" s="266" t="s">
        <v>320</v>
      </c>
      <c r="B2" s="315">
        <f>B18</f>
        <v>1699416964.9412553</v>
      </c>
      <c r="D2" s="266" t="s">
        <v>320</v>
      </c>
      <c r="E2" s="315">
        <f>E18</f>
        <v>2018064489.372324</v>
      </c>
      <c r="J2" s="279"/>
    </row>
    <row r="3" spans="1:10" x14ac:dyDescent="0.25">
      <c r="A3" t="s">
        <v>321</v>
      </c>
      <c r="C3" s="251"/>
      <c r="D3" t="s">
        <v>321</v>
      </c>
      <c r="J3" s="279"/>
    </row>
    <row r="4" spans="1:10" x14ac:dyDescent="0.25">
      <c r="J4" s="279"/>
    </row>
    <row r="5" spans="1:10" x14ac:dyDescent="0.25">
      <c r="A5" s="306">
        <v>42370</v>
      </c>
      <c r="B5" s="312">
        <f>SUM('[1]QTDE DE AÇÕES'!B5+'[2]QTDE DE AÇÕES'!B5+'[3]QTDE DE AÇÕES'!B5+'[4]QTDE DE AÇÕES'!B5+'[5]QTDE DE AÇÕES'!B5+'[6]QTDE DE AÇÕES'!B5+'[7]QTDE DE AÇÕES'!B5+'[8]QTDE DE AÇÕES'!B5+'[9]QTDE DE AÇÕES'!B5+'[10]QTDE DE AÇÕES'!B5+'[11]QTDE DE AÇÕES'!B5+'[12]QTDE DE AÇÕES'!B5+'[13]QTDE DE AÇÕES'!B5+'[14]QTDE DE AÇÕES'!B5+'[15]QTDE DE AÇÕES'!B5+'[16]QTDE DE AÇÕES'!B5+'[17]QTDE DE AÇÕES'!B5+'[18]QTDE DE AÇÕES'!B5+'[19]QTDE DE AÇÕES'!B5+'[20]QTDE DE AÇÕES'!B5+'[21]QTDE DE AÇÕES'!B5+'[22]QTDE DE AÇÕES'!B5+'[23]QTDE DE AÇÕES'!B5+'[24]QTDE DE AÇÕES'!B5+'[25]QTDE DE AÇÕES'!B5+'[26]QTDE DE AÇÕES'!B5+'[27]QTDE DE AÇÕES'!B5+'[28]QTDE DE AÇÕES'!B5+'[29]QTDE DE AÇÕES'!B5+'[30]QTDE DE AÇÕES'!B5+'[31]QTDE DE AÇÕES'!B5+'[32]QTDE DE AÇÕES'!B5+'[33]QTDE DE AÇÕES'!B5+'[34]QTDE DE AÇÕES'!B5+'[35]QTDE DE AÇÕES'!B5)</f>
        <v>1428212266.3898067</v>
      </c>
      <c r="D5" s="306">
        <v>42736</v>
      </c>
      <c r="E5" s="312">
        <f>SUM('[1]QTDE DE AÇÕES'!E5+'[2]QTDE DE AÇÕES'!E5+'[3]QTDE DE AÇÕES'!E5+'[4]QTDE DE AÇÕES'!E5+'[5]QTDE DE AÇÕES'!E5+'[6]QTDE DE AÇÕES'!E5+'[7]QTDE DE AÇÕES'!E5+'[8]QTDE DE AÇÕES'!E5+'[9]QTDE DE AÇÕES'!E5+'[10]QTDE DE AÇÕES'!E5+'[11]QTDE DE AÇÕES'!E5+'[12]QTDE DE AÇÕES'!E5+'[13]QTDE DE AÇÕES'!E5+'[14]QTDE DE AÇÕES'!E5+'[15]QTDE DE AÇÕES'!E5+'[16]QTDE DE AÇÕES'!E5+'[17]QTDE DE AÇÕES'!E5+'[18]QTDE DE AÇÕES'!E5+'[19]QTDE DE AÇÕES'!E5+'[20]QTDE DE AÇÕES'!E5+'[21]QTDE DE AÇÕES'!E5+'[22]QTDE DE AÇÕES'!E5+'[23]QTDE DE AÇÕES'!E5+'[24]QTDE DE AÇÕES'!E5+'[25]QTDE DE AÇÕES'!E5+'[26]QTDE DE AÇÕES'!E5+'[27]QTDE DE AÇÕES'!E5+'[28]QTDE DE AÇÕES'!E5+'[29]QTDE DE AÇÕES'!E5+'[30]QTDE DE AÇÕES'!E5+'[31]QTDE DE AÇÕES'!E5+'[32]QTDE DE AÇÕES'!E5+'[33]QTDE DE AÇÕES'!E5+'[34]QTDE DE AÇÕES'!E5+'[35]QTDE DE AÇÕES'!E5)</f>
        <v>1892867704.4751298</v>
      </c>
      <c r="J5" s="279"/>
    </row>
    <row r="6" spans="1:10" x14ac:dyDescent="0.25">
      <c r="A6" s="306">
        <f>A5+31</f>
        <v>42401</v>
      </c>
      <c r="B6" s="312">
        <f>SUM('[1]QTDE DE AÇÕES'!B6+'[2]QTDE DE AÇÕES'!B6+'[3]QTDE DE AÇÕES'!B6+'[4]QTDE DE AÇÕES'!B6+'[5]QTDE DE AÇÕES'!B6+'[6]QTDE DE AÇÕES'!B6+'[7]QTDE DE AÇÕES'!B6+'[8]QTDE DE AÇÕES'!B6+'[9]QTDE DE AÇÕES'!B6+'[10]QTDE DE AÇÕES'!B6+'[11]QTDE DE AÇÕES'!B6+'[12]QTDE DE AÇÕES'!B6+'[13]QTDE DE AÇÕES'!B6+'[14]QTDE DE AÇÕES'!B6+'[15]QTDE DE AÇÕES'!B6+'[16]QTDE DE AÇÕES'!B6+'[17]QTDE DE AÇÕES'!B6+'[18]QTDE DE AÇÕES'!B6+'[19]QTDE DE AÇÕES'!B6+'[20]QTDE DE AÇÕES'!B6+'[21]QTDE DE AÇÕES'!B6+'[22]QTDE DE AÇÕES'!B6+'[23]QTDE DE AÇÕES'!B6+'[24]QTDE DE AÇÕES'!B6+'[25]QTDE DE AÇÕES'!B6+'[26]QTDE DE AÇÕES'!B6+'[27]QTDE DE AÇÕES'!B6+'[28]QTDE DE AÇÕES'!B6+'[29]QTDE DE AÇÕES'!B6+'[30]QTDE DE AÇÕES'!B6+'[31]QTDE DE AÇÕES'!B6+'[32]QTDE DE AÇÕES'!B6+'[33]QTDE DE AÇÕES'!B6+'[34]QTDE DE AÇÕES'!B6+'[35]QTDE DE AÇÕES'!B6)</f>
        <v>1431400060.2502217</v>
      </c>
      <c r="D6" s="306">
        <f>D5+31</f>
        <v>42767</v>
      </c>
      <c r="E6" s="312">
        <f>SUM('[1]QTDE DE AÇÕES'!E6+'[2]QTDE DE AÇÕES'!E6+'[3]QTDE DE AÇÕES'!E6+'[4]QTDE DE AÇÕES'!E6+'[5]QTDE DE AÇÕES'!E6+'[6]QTDE DE AÇÕES'!E6+'[7]QTDE DE AÇÕES'!E6+'[8]QTDE DE AÇÕES'!E6+'[9]QTDE DE AÇÕES'!E6+'[10]QTDE DE AÇÕES'!E6+'[11]QTDE DE AÇÕES'!E6+'[12]QTDE DE AÇÕES'!E6+'[13]QTDE DE AÇÕES'!E6+'[14]QTDE DE AÇÕES'!E6+'[15]QTDE DE AÇÕES'!E6+'[16]QTDE DE AÇÕES'!E6+'[17]QTDE DE AÇÕES'!E6+'[18]QTDE DE AÇÕES'!E6+'[19]QTDE DE AÇÕES'!E6+'[20]QTDE DE AÇÕES'!E6+'[21]QTDE DE AÇÕES'!E6+'[22]QTDE DE AÇÕES'!E6+'[23]QTDE DE AÇÕES'!E6+'[24]QTDE DE AÇÕES'!E6+'[25]QTDE DE AÇÕES'!E6+'[26]QTDE DE AÇÕES'!E6+'[27]QTDE DE AÇÕES'!E6+'[28]QTDE DE AÇÕES'!E6+'[29]QTDE DE AÇÕES'!E6+'[30]QTDE DE AÇÕES'!E6+'[31]QTDE DE AÇÕES'!E6+'[32]QTDE DE AÇÕES'!E6+'[33]QTDE DE AÇÕES'!E6+'[34]QTDE DE AÇÕES'!E6+'[35]QTDE DE AÇÕES'!E6)</f>
        <v>1934465709.6126099</v>
      </c>
      <c r="J6" s="279"/>
    </row>
    <row r="7" spans="1:10" x14ac:dyDescent="0.25">
      <c r="A7" s="306">
        <f t="shared" ref="A7:A16" si="0">A6+31</f>
        <v>42432</v>
      </c>
      <c r="B7" s="312">
        <f>SUM('[1]QTDE DE AÇÕES'!B7+'[2]QTDE DE AÇÕES'!B7+'[3]QTDE DE AÇÕES'!B7+'[4]QTDE DE AÇÕES'!B7+'[5]QTDE DE AÇÕES'!B7+'[6]QTDE DE AÇÕES'!B7+'[7]QTDE DE AÇÕES'!B7+'[8]QTDE DE AÇÕES'!B7+'[9]QTDE DE AÇÕES'!B7+'[10]QTDE DE AÇÕES'!B7+'[11]QTDE DE AÇÕES'!B7+'[12]QTDE DE AÇÕES'!B7+'[13]QTDE DE AÇÕES'!B7+'[14]QTDE DE AÇÕES'!B7+'[15]QTDE DE AÇÕES'!B7+'[16]QTDE DE AÇÕES'!B7+'[17]QTDE DE AÇÕES'!B7+'[18]QTDE DE AÇÕES'!B7+'[19]QTDE DE AÇÕES'!B7+'[20]QTDE DE AÇÕES'!B7+'[21]QTDE DE AÇÕES'!B7+'[22]QTDE DE AÇÕES'!B7+'[23]QTDE DE AÇÕES'!B7+'[24]QTDE DE AÇÕES'!B7+'[25]QTDE DE AÇÕES'!B7+'[26]QTDE DE AÇÕES'!B7+'[27]QTDE DE AÇÕES'!B7+'[28]QTDE DE AÇÕES'!B7+'[29]QTDE DE AÇÕES'!B7+'[30]QTDE DE AÇÕES'!B7+'[31]QTDE DE AÇÕES'!B7+'[32]QTDE DE AÇÕES'!B7+'[33]QTDE DE AÇÕES'!B7+'[34]QTDE DE AÇÕES'!B7+'[35]QTDE DE AÇÕES'!B7)</f>
        <v>1599894655.5015996</v>
      </c>
      <c r="D7" s="306">
        <f t="shared" ref="D7:D16" si="1">D6+31</f>
        <v>42798</v>
      </c>
      <c r="E7" s="312">
        <f>SUM('[1]QTDE DE AÇÕES'!E7+'[2]QTDE DE AÇÕES'!E7+'[3]QTDE DE AÇÕES'!E7+'[4]QTDE DE AÇÕES'!E7+'[5]QTDE DE AÇÕES'!E7+'[6]QTDE DE AÇÕES'!E7+'[7]QTDE DE AÇÕES'!E7+'[8]QTDE DE AÇÕES'!E7+'[9]QTDE DE AÇÕES'!E7+'[10]QTDE DE AÇÕES'!E7+'[11]QTDE DE AÇÕES'!E7+'[12]QTDE DE AÇÕES'!E7+'[13]QTDE DE AÇÕES'!E7+'[14]QTDE DE AÇÕES'!E7+'[15]QTDE DE AÇÕES'!E7+'[16]QTDE DE AÇÕES'!E7+'[17]QTDE DE AÇÕES'!E7+'[18]QTDE DE AÇÕES'!E7+'[19]QTDE DE AÇÕES'!E7+'[20]QTDE DE AÇÕES'!E7+'[21]QTDE DE AÇÕES'!E7+'[22]QTDE DE AÇÕES'!E7+'[23]QTDE DE AÇÕES'!E7+'[24]QTDE DE AÇÕES'!E7+'[25]QTDE DE AÇÕES'!E7+'[26]QTDE DE AÇÕES'!E7+'[27]QTDE DE AÇÕES'!E7+'[28]QTDE DE AÇÕES'!E7+'[29]QTDE DE AÇÕES'!E7+'[30]QTDE DE AÇÕES'!E7+'[31]QTDE DE AÇÕES'!E7+'[32]QTDE DE AÇÕES'!E7+'[33]QTDE DE AÇÕES'!E7+'[34]QTDE DE AÇÕES'!E7+'[35]QTDE DE AÇÕES'!E7)</f>
        <v>1903236667.83516</v>
      </c>
      <c r="J7" s="279"/>
    </row>
    <row r="8" spans="1:10" x14ac:dyDescent="0.25">
      <c r="A8" s="306">
        <f t="shared" si="0"/>
        <v>42463</v>
      </c>
      <c r="B8" s="312">
        <f>SUM('[1]QTDE DE AÇÕES'!B8+'[2]QTDE DE AÇÕES'!B8+'[3]QTDE DE AÇÕES'!B8+'[4]QTDE DE AÇÕES'!B8+'[5]QTDE DE AÇÕES'!B8+'[6]QTDE DE AÇÕES'!B8+'[7]QTDE DE AÇÕES'!B8+'[8]QTDE DE AÇÕES'!B8+'[9]QTDE DE AÇÕES'!B8+'[10]QTDE DE AÇÕES'!B8+'[11]QTDE DE AÇÕES'!B8+'[12]QTDE DE AÇÕES'!B8+'[13]QTDE DE AÇÕES'!B8+'[14]QTDE DE AÇÕES'!B8+'[15]QTDE DE AÇÕES'!B8+'[16]QTDE DE AÇÕES'!B8+'[17]QTDE DE AÇÕES'!B8+'[18]QTDE DE AÇÕES'!B8+'[19]QTDE DE AÇÕES'!B8+'[20]QTDE DE AÇÕES'!B8+'[21]QTDE DE AÇÕES'!B8+'[22]QTDE DE AÇÕES'!B8+'[23]QTDE DE AÇÕES'!B8+'[24]QTDE DE AÇÕES'!B8+'[25]QTDE DE AÇÕES'!B8+'[26]QTDE DE AÇÕES'!B8+'[27]QTDE DE AÇÕES'!B8+'[28]QTDE DE AÇÕES'!B8+'[29]QTDE DE AÇÕES'!B8+'[30]QTDE DE AÇÕES'!B8+'[31]QTDE DE AÇÕES'!B8+'[32]QTDE DE AÇÕES'!B8+'[33]QTDE DE AÇÕES'!B8+'[34]QTDE DE AÇÕES'!B8+'[35]QTDE DE AÇÕES'!B8)</f>
        <v>1659850545.1770632</v>
      </c>
      <c r="D8" s="306">
        <f t="shared" si="1"/>
        <v>42829</v>
      </c>
      <c r="E8" s="312">
        <f>SUM('[1]QTDE DE AÇÕES'!E8+'[2]QTDE DE AÇÕES'!E8+'[3]QTDE DE AÇÕES'!E8+'[4]QTDE DE AÇÕES'!E8+'[5]QTDE DE AÇÕES'!E8+'[6]QTDE DE AÇÕES'!E8+'[7]QTDE DE AÇÕES'!E8+'[8]QTDE DE AÇÕES'!E8+'[9]QTDE DE AÇÕES'!E8+'[10]QTDE DE AÇÕES'!E8+'[11]QTDE DE AÇÕES'!E8+'[12]QTDE DE AÇÕES'!E8+'[13]QTDE DE AÇÕES'!E8+'[14]QTDE DE AÇÕES'!E8+'[15]QTDE DE AÇÕES'!E8+'[16]QTDE DE AÇÕES'!E8+'[17]QTDE DE AÇÕES'!E8+'[18]QTDE DE AÇÕES'!E8+'[19]QTDE DE AÇÕES'!E8+'[20]QTDE DE AÇÕES'!E8+'[21]QTDE DE AÇÕES'!E8+'[22]QTDE DE AÇÕES'!E8+'[23]QTDE DE AÇÕES'!E8+'[24]QTDE DE AÇÕES'!E8+'[25]QTDE DE AÇÕES'!E8+'[26]QTDE DE AÇÕES'!E8+'[27]QTDE DE AÇÕES'!E8+'[28]QTDE DE AÇÕES'!E8+'[29]QTDE DE AÇÕES'!E8+'[30]QTDE DE AÇÕES'!E8+'[31]QTDE DE AÇÕES'!E8+'[32]QTDE DE AÇÕES'!E8+'[33]QTDE DE AÇÕES'!E8+'[34]QTDE DE AÇÕES'!E8+'[35]QTDE DE AÇÕES'!E8)</f>
        <v>1906819131.1307597</v>
      </c>
      <c r="J8" s="279"/>
    </row>
    <row r="9" spans="1:10" x14ac:dyDescent="0.25">
      <c r="A9" s="306">
        <f t="shared" si="0"/>
        <v>42494</v>
      </c>
      <c r="B9" s="312">
        <f>SUM('[1]QTDE DE AÇÕES'!B9+'[2]QTDE DE AÇÕES'!B9+'[3]QTDE DE AÇÕES'!B9+'[4]QTDE DE AÇÕES'!B9+'[5]QTDE DE AÇÕES'!B9+'[6]QTDE DE AÇÕES'!B9+'[7]QTDE DE AÇÕES'!B9+'[8]QTDE DE AÇÕES'!B9+'[9]QTDE DE AÇÕES'!B9+'[10]QTDE DE AÇÕES'!B9+'[11]QTDE DE AÇÕES'!B9+'[12]QTDE DE AÇÕES'!B9+'[13]QTDE DE AÇÕES'!B9+'[14]QTDE DE AÇÕES'!B9+'[15]QTDE DE AÇÕES'!B9+'[16]QTDE DE AÇÕES'!B9+'[17]QTDE DE AÇÕES'!B9+'[18]QTDE DE AÇÕES'!B9+'[19]QTDE DE AÇÕES'!B9+'[20]QTDE DE AÇÕES'!B9+'[21]QTDE DE AÇÕES'!B9+'[22]QTDE DE AÇÕES'!B9+'[23]QTDE DE AÇÕES'!B9+'[24]QTDE DE AÇÕES'!B9+'[25]QTDE DE AÇÕES'!B9+'[26]QTDE DE AÇÕES'!B9+'[27]QTDE DE AÇÕES'!B9+'[28]QTDE DE AÇÕES'!B9+'[29]QTDE DE AÇÕES'!B9+'[30]QTDE DE AÇÕES'!B9+'[31]QTDE DE AÇÕES'!B9+'[32]QTDE DE AÇÕES'!B9+'[33]QTDE DE AÇÕES'!B9+'[34]QTDE DE AÇÕES'!B9+'[35]QTDE DE AÇÕES'!B9)</f>
        <v>1578126273.7961946</v>
      </c>
      <c r="D9" s="306">
        <f t="shared" si="1"/>
        <v>42860</v>
      </c>
      <c r="E9" s="312">
        <f>SUM('[1]QTDE DE AÇÕES'!E9+'[2]QTDE DE AÇÕES'!E9+'[3]QTDE DE AÇÕES'!E9+'[4]QTDE DE AÇÕES'!E9+'[5]QTDE DE AÇÕES'!E9+'[6]QTDE DE AÇÕES'!E9+'[7]QTDE DE AÇÕES'!E9+'[8]QTDE DE AÇÕES'!E9+'[9]QTDE DE AÇÕES'!E9+'[10]QTDE DE AÇÕES'!E9+'[11]QTDE DE AÇÕES'!E9+'[12]QTDE DE AÇÕES'!E9+'[13]QTDE DE AÇÕES'!E9+'[14]QTDE DE AÇÕES'!E9+'[15]QTDE DE AÇÕES'!E9+'[16]QTDE DE AÇÕES'!E9+'[17]QTDE DE AÇÕES'!E9+'[18]QTDE DE AÇÕES'!E9+'[19]QTDE DE AÇÕES'!E9+'[20]QTDE DE AÇÕES'!E9+'[21]QTDE DE AÇÕES'!E9+'[22]QTDE DE AÇÕES'!E9+'[23]QTDE DE AÇÕES'!E9+'[24]QTDE DE AÇÕES'!E9+'[25]QTDE DE AÇÕES'!E9+'[26]QTDE DE AÇÕES'!E9+'[27]QTDE DE AÇÕES'!E9+'[28]QTDE DE AÇÕES'!E9+'[29]QTDE DE AÇÕES'!E9+'[30]QTDE DE AÇÕES'!E9+'[31]QTDE DE AÇÕES'!E9+'[32]QTDE DE AÇÕES'!E9+'[33]QTDE DE AÇÕES'!E9+'[34]QTDE DE AÇÕES'!E9+'[35]QTDE DE AÇÕES'!E9)</f>
        <v>1896385521.02036</v>
      </c>
      <c r="J9" s="279"/>
    </row>
    <row r="10" spans="1:10" x14ac:dyDescent="0.25">
      <c r="A10" s="306">
        <f t="shared" si="0"/>
        <v>42525</v>
      </c>
      <c r="B10" s="312">
        <f>SUM('[1]QTDE DE AÇÕES'!B10+'[2]QTDE DE AÇÕES'!B10+'[3]QTDE DE AÇÕES'!B10+'[4]QTDE DE AÇÕES'!B10+'[5]QTDE DE AÇÕES'!B10+'[6]QTDE DE AÇÕES'!B10+'[7]QTDE DE AÇÕES'!B10+'[8]QTDE DE AÇÕES'!B10+'[9]QTDE DE AÇÕES'!B10+'[10]QTDE DE AÇÕES'!B10+'[11]QTDE DE AÇÕES'!B10+'[12]QTDE DE AÇÕES'!B10+'[13]QTDE DE AÇÕES'!B10+'[14]QTDE DE AÇÕES'!B10+'[15]QTDE DE AÇÕES'!B10+'[16]QTDE DE AÇÕES'!B10+'[17]QTDE DE AÇÕES'!B10+'[18]QTDE DE AÇÕES'!B10+'[19]QTDE DE AÇÕES'!B10+'[20]QTDE DE AÇÕES'!B10+'[21]QTDE DE AÇÕES'!B10+'[22]QTDE DE AÇÕES'!B10+'[23]QTDE DE AÇÕES'!B10+'[24]QTDE DE AÇÕES'!B10+'[25]QTDE DE AÇÕES'!B10+'[26]QTDE DE AÇÕES'!B10+'[27]QTDE DE AÇÕES'!B10+'[28]QTDE DE AÇÕES'!B10+'[29]QTDE DE AÇÕES'!B10+'[30]QTDE DE AÇÕES'!B10+'[31]QTDE DE AÇÕES'!B10+'[32]QTDE DE AÇÕES'!B10+'[33]QTDE DE AÇÕES'!B10+'[34]QTDE DE AÇÕES'!B10+'[35]QTDE DE AÇÕES'!B10)</f>
        <v>1625102978.65189</v>
      </c>
      <c r="D10" s="306">
        <f t="shared" si="1"/>
        <v>42891</v>
      </c>
      <c r="E10" s="312">
        <f>SUM('[1]QTDE DE AÇÕES'!E10+'[2]QTDE DE AÇÕES'!E10+'[3]QTDE DE AÇÕES'!E10+'[4]QTDE DE AÇÕES'!E10+'[5]QTDE DE AÇÕES'!E10+'[6]QTDE DE AÇÕES'!E10+'[7]QTDE DE AÇÕES'!E10+'[8]QTDE DE AÇÕES'!E10+'[9]QTDE DE AÇÕES'!E10+'[10]QTDE DE AÇÕES'!E10+'[11]QTDE DE AÇÕES'!E10+'[12]QTDE DE AÇÕES'!E10+'[13]QTDE DE AÇÕES'!E10+'[14]QTDE DE AÇÕES'!E10+'[15]QTDE DE AÇÕES'!E10+'[16]QTDE DE AÇÕES'!E10+'[17]QTDE DE AÇÕES'!E10+'[18]QTDE DE AÇÕES'!E10+'[19]QTDE DE AÇÕES'!E10+'[20]QTDE DE AÇÕES'!E10+'[21]QTDE DE AÇÕES'!E10+'[22]QTDE DE AÇÕES'!E10+'[23]QTDE DE AÇÕES'!E10+'[24]QTDE DE AÇÕES'!E10+'[25]QTDE DE AÇÕES'!E10+'[26]QTDE DE AÇÕES'!E10+'[27]QTDE DE AÇÕES'!E10+'[28]QTDE DE AÇÕES'!E10+'[29]QTDE DE AÇÕES'!E10+'[30]QTDE DE AÇÕES'!E10+'[31]QTDE DE AÇÕES'!E10+'[32]QTDE DE AÇÕES'!E10+'[33]QTDE DE AÇÕES'!E10+'[34]QTDE DE AÇÕES'!E10+'[35]QTDE DE AÇÕES'!E10)</f>
        <v>1871877470.9281096</v>
      </c>
      <c r="J10" s="279"/>
    </row>
    <row r="11" spans="1:10" x14ac:dyDescent="0.25">
      <c r="A11" s="306">
        <f t="shared" si="0"/>
        <v>42556</v>
      </c>
      <c r="B11" s="312">
        <f>SUM('[1]QTDE DE AÇÕES'!B11+'[2]QTDE DE AÇÕES'!B11+'[3]QTDE DE AÇÕES'!B11+'[4]QTDE DE AÇÕES'!B11+'[5]QTDE DE AÇÕES'!B11+'[6]QTDE DE AÇÕES'!B11+'[7]QTDE DE AÇÕES'!B11+'[8]QTDE DE AÇÕES'!B11+'[9]QTDE DE AÇÕES'!B11+'[10]QTDE DE AÇÕES'!B11+'[11]QTDE DE AÇÕES'!B11+'[12]QTDE DE AÇÕES'!B11+'[13]QTDE DE AÇÕES'!B11+'[14]QTDE DE AÇÕES'!B11+'[15]QTDE DE AÇÕES'!B11+'[16]QTDE DE AÇÕES'!B11+'[17]QTDE DE AÇÕES'!B11+'[18]QTDE DE AÇÕES'!B11+'[19]QTDE DE AÇÕES'!B11+'[20]QTDE DE AÇÕES'!B11+'[21]QTDE DE AÇÕES'!B11+'[22]QTDE DE AÇÕES'!B11+'[23]QTDE DE AÇÕES'!B11+'[24]QTDE DE AÇÕES'!B11+'[25]QTDE DE AÇÕES'!B11+'[26]QTDE DE AÇÕES'!B11+'[27]QTDE DE AÇÕES'!B11+'[28]QTDE DE AÇÕES'!B11+'[29]QTDE DE AÇÕES'!B11+'[30]QTDE DE AÇÕES'!B11+'[31]QTDE DE AÇÕES'!B11+'[32]QTDE DE AÇÕES'!B11+'[33]QTDE DE AÇÕES'!B11+'[34]QTDE DE AÇÕES'!B11+'[35]QTDE DE AÇÕES'!B11)</f>
        <v>1776810900.9317648</v>
      </c>
      <c r="D11" s="306">
        <f t="shared" si="1"/>
        <v>42922</v>
      </c>
      <c r="E11" s="312">
        <f>SUM('[1]QTDE DE AÇÕES'!E11+'[2]QTDE DE AÇÕES'!E11+'[3]QTDE DE AÇÕES'!E11+'[4]QTDE DE AÇÕES'!E11+'[5]QTDE DE AÇÕES'!E11+'[6]QTDE DE AÇÕES'!E11+'[7]QTDE DE AÇÕES'!E11+'[8]QTDE DE AÇÕES'!E11+'[9]QTDE DE AÇÕES'!E11+'[10]QTDE DE AÇÕES'!E11+'[11]QTDE DE AÇÕES'!E11+'[12]QTDE DE AÇÕES'!E11+'[13]QTDE DE AÇÕES'!E11+'[14]QTDE DE AÇÕES'!E11+'[15]QTDE DE AÇÕES'!E11+'[16]QTDE DE AÇÕES'!E11+'[17]QTDE DE AÇÕES'!E11+'[18]QTDE DE AÇÕES'!E11+'[19]QTDE DE AÇÕES'!E11+'[20]QTDE DE AÇÕES'!E11+'[21]QTDE DE AÇÕES'!E11+'[22]QTDE DE AÇÕES'!E11+'[23]QTDE DE AÇÕES'!E11+'[24]QTDE DE AÇÕES'!E11+'[25]QTDE DE AÇÕES'!E11+'[26]QTDE DE AÇÕES'!E11+'[27]QTDE DE AÇÕES'!E11+'[28]QTDE DE AÇÕES'!E11+'[29]QTDE DE AÇÕES'!E11+'[30]QTDE DE AÇÕES'!E11+'[31]QTDE DE AÇÕES'!E11+'[32]QTDE DE AÇÕES'!E11+'[33]QTDE DE AÇÕES'!E11+'[34]QTDE DE AÇÕES'!E11+'[35]QTDE DE AÇÕES'!E11)</f>
        <v>1961808498.0727599</v>
      </c>
      <c r="J11" s="279"/>
    </row>
    <row r="12" spans="1:10" x14ac:dyDescent="0.25">
      <c r="A12" s="306">
        <f t="shared" si="0"/>
        <v>42587</v>
      </c>
      <c r="B12" s="312">
        <f>SUM('[1]QTDE DE AÇÕES'!B12+'[2]QTDE DE AÇÕES'!B12+'[3]QTDE DE AÇÕES'!B12+'[4]QTDE DE AÇÕES'!B12+'[5]QTDE DE AÇÕES'!B12+'[6]QTDE DE AÇÕES'!B12+'[7]QTDE DE AÇÕES'!B12+'[8]QTDE DE AÇÕES'!B12+'[9]QTDE DE AÇÕES'!B12+'[10]QTDE DE AÇÕES'!B12+'[11]QTDE DE AÇÕES'!B12+'[12]QTDE DE AÇÕES'!B12+'[13]QTDE DE AÇÕES'!B12+'[14]QTDE DE AÇÕES'!B12+'[15]QTDE DE AÇÕES'!B12+'[16]QTDE DE AÇÕES'!B12+'[17]QTDE DE AÇÕES'!B12+'[18]QTDE DE AÇÕES'!B12+'[19]QTDE DE AÇÕES'!B12+'[20]QTDE DE AÇÕES'!B12+'[21]QTDE DE AÇÕES'!B12+'[22]QTDE DE AÇÕES'!B12+'[23]QTDE DE AÇÕES'!B12+'[24]QTDE DE AÇÕES'!B12+'[25]QTDE DE AÇÕES'!B12+'[26]QTDE DE AÇÕES'!B12+'[27]QTDE DE AÇÕES'!B12+'[28]QTDE DE AÇÕES'!B12+'[29]QTDE DE AÇÕES'!B12+'[30]QTDE DE AÇÕES'!B12+'[31]QTDE DE AÇÕES'!B12+'[32]QTDE DE AÇÕES'!B12+'[33]QTDE DE AÇÕES'!B12+'[34]QTDE DE AÇÕES'!B12+'[35]QTDE DE AÇÕES'!B12)</f>
        <v>1801845357.8110287</v>
      </c>
      <c r="D12" s="306">
        <f t="shared" si="1"/>
        <v>42953</v>
      </c>
      <c r="E12" s="312">
        <f>SUM('[1]QTDE DE AÇÕES'!E12+'[2]QTDE DE AÇÕES'!E12+'[3]QTDE DE AÇÕES'!E12+'[4]QTDE DE AÇÕES'!E12+'[5]QTDE DE AÇÕES'!E12+'[6]QTDE DE AÇÕES'!E12+'[7]QTDE DE AÇÕES'!E12+'[8]QTDE DE AÇÕES'!E12+'[9]QTDE DE AÇÕES'!E12+'[10]QTDE DE AÇÕES'!E12+'[11]QTDE DE AÇÕES'!E12+'[12]QTDE DE AÇÕES'!E12+'[13]QTDE DE AÇÕES'!E12+'[14]QTDE DE AÇÕES'!E12+'[15]QTDE DE AÇÕES'!E12+'[16]QTDE DE AÇÕES'!E12+'[17]QTDE DE AÇÕES'!E12+'[18]QTDE DE AÇÕES'!E12+'[19]QTDE DE AÇÕES'!E12+'[20]QTDE DE AÇÕES'!E12+'[21]QTDE DE AÇÕES'!E12+'[22]QTDE DE AÇÕES'!E12+'[23]QTDE DE AÇÕES'!E12+'[24]QTDE DE AÇÕES'!E12+'[25]QTDE DE AÇÕES'!E12+'[26]QTDE DE AÇÕES'!E12+'[27]QTDE DE AÇÕES'!E12+'[28]QTDE DE AÇÕES'!E12+'[29]QTDE DE AÇÕES'!E12+'[30]QTDE DE AÇÕES'!E12+'[31]QTDE DE AÇÕES'!E12+'[32]QTDE DE AÇÕES'!E12+'[33]QTDE DE AÇÕES'!E12+'[34]QTDE DE AÇÕES'!E12+'[35]QTDE DE AÇÕES'!E12)</f>
        <v>2086880039.23088</v>
      </c>
      <c r="J12" s="279"/>
    </row>
    <row r="13" spans="1:10" x14ac:dyDescent="0.25">
      <c r="A13" s="306">
        <f t="shared" si="0"/>
        <v>42618</v>
      </c>
      <c r="B13" s="312">
        <f>SUM('[1]QTDE DE AÇÕES'!B13+'[2]QTDE DE AÇÕES'!B13+'[3]QTDE DE AÇÕES'!B13+'[4]QTDE DE AÇÕES'!B13+'[5]QTDE DE AÇÕES'!B13+'[6]QTDE DE AÇÕES'!B13+'[7]QTDE DE AÇÕES'!B13+'[8]QTDE DE AÇÕES'!B13+'[9]QTDE DE AÇÕES'!B13+'[10]QTDE DE AÇÕES'!B13+'[11]QTDE DE AÇÕES'!B13+'[12]QTDE DE AÇÕES'!B13+'[13]QTDE DE AÇÕES'!B13+'[14]QTDE DE AÇÕES'!B13+'[15]QTDE DE AÇÕES'!B13+'[16]QTDE DE AÇÕES'!B13+'[17]QTDE DE AÇÕES'!B13+'[18]QTDE DE AÇÕES'!B13+'[19]QTDE DE AÇÕES'!B13+'[20]QTDE DE AÇÕES'!B13+'[21]QTDE DE AÇÕES'!B13+'[22]QTDE DE AÇÕES'!B13+'[23]QTDE DE AÇÕES'!B13+'[24]QTDE DE AÇÕES'!B13+'[25]QTDE DE AÇÕES'!B13+'[26]QTDE DE AÇÕES'!B13+'[27]QTDE DE AÇÕES'!B13+'[28]QTDE DE AÇÕES'!B13+'[29]QTDE DE AÇÕES'!B13+'[30]QTDE DE AÇÕES'!B13+'[31]QTDE DE AÇÕES'!B13+'[32]QTDE DE AÇÕES'!B13+'[33]QTDE DE AÇÕES'!B13+'[34]QTDE DE AÇÕES'!B13+'[35]QTDE DE AÇÕES'!B13)</f>
        <v>1836867391.4546094</v>
      </c>
      <c r="D13" s="306">
        <f t="shared" si="1"/>
        <v>42984</v>
      </c>
      <c r="E13" s="312">
        <f>SUM('[1]QTDE DE AÇÕES'!E13+'[2]QTDE DE AÇÕES'!E13+'[3]QTDE DE AÇÕES'!E13+'[4]QTDE DE AÇÕES'!E13+'[5]QTDE DE AÇÕES'!E13+'[6]QTDE DE AÇÕES'!E13+'[7]QTDE DE AÇÕES'!E13+'[8]QTDE DE AÇÕES'!E13+'[9]QTDE DE AÇÕES'!E13+'[10]QTDE DE AÇÕES'!E13+'[11]QTDE DE AÇÕES'!E13+'[12]QTDE DE AÇÕES'!E13+'[13]QTDE DE AÇÕES'!E13+'[14]QTDE DE AÇÕES'!E13+'[15]QTDE DE AÇÕES'!E13+'[16]QTDE DE AÇÕES'!E13+'[17]QTDE DE AÇÕES'!E13+'[18]QTDE DE AÇÕES'!E13+'[19]QTDE DE AÇÕES'!E13+'[20]QTDE DE AÇÕES'!E13+'[21]QTDE DE AÇÕES'!E13+'[22]QTDE DE AÇÕES'!E13+'[23]QTDE DE AÇÕES'!E13+'[24]QTDE DE AÇÕES'!E13+'[25]QTDE DE AÇÕES'!E13+'[26]QTDE DE AÇÕES'!E13+'[27]QTDE DE AÇÕES'!E13+'[28]QTDE DE AÇÕES'!E13+'[29]QTDE DE AÇÕES'!E13+'[30]QTDE DE AÇÕES'!E13+'[31]QTDE DE AÇÕES'!E13+'[32]QTDE DE AÇÕES'!E13+'[33]QTDE DE AÇÕES'!E13+'[34]QTDE DE AÇÕES'!E13+'[35]QTDE DE AÇÕES'!E13)</f>
        <v>2165002707.8533297</v>
      </c>
      <c r="J13" s="279"/>
    </row>
    <row r="14" spans="1:10" x14ac:dyDescent="0.25">
      <c r="A14" s="306">
        <f t="shared" si="0"/>
        <v>42649</v>
      </c>
      <c r="B14" s="312">
        <f>SUM('[1]QTDE DE AÇÕES'!B14+'[2]QTDE DE AÇÕES'!B14+'[3]QTDE DE AÇÕES'!B14+'[4]QTDE DE AÇÕES'!B14+'[5]QTDE DE AÇÕES'!B14+'[6]QTDE DE AÇÕES'!B14+'[7]QTDE DE AÇÕES'!B14+'[8]QTDE DE AÇÕES'!B14+'[9]QTDE DE AÇÕES'!B14+'[10]QTDE DE AÇÕES'!B14+'[11]QTDE DE AÇÕES'!B14+'[12]QTDE DE AÇÕES'!B14+'[13]QTDE DE AÇÕES'!B14+'[14]QTDE DE AÇÕES'!B14+'[15]QTDE DE AÇÕES'!B14+'[16]QTDE DE AÇÕES'!B14+'[17]QTDE DE AÇÕES'!B14+'[18]QTDE DE AÇÕES'!B14+'[19]QTDE DE AÇÕES'!B14+'[20]QTDE DE AÇÕES'!B14+'[21]QTDE DE AÇÕES'!B14+'[22]QTDE DE AÇÕES'!B14+'[23]QTDE DE AÇÕES'!B14+'[24]QTDE DE AÇÕES'!B14+'[25]QTDE DE AÇÕES'!B14+'[26]QTDE DE AÇÕES'!B14+'[27]QTDE DE AÇÕES'!B14+'[28]QTDE DE AÇÕES'!B14+'[29]QTDE DE AÇÕES'!B14+'[30]QTDE DE AÇÕES'!B14+'[31]QTDE DE AÇÕES'!B14+'[32]QTDE DE AÇÕES'!B14+'[33]QTDE DE AÇÕES'!B14+'[34]QTDE DE AÇÕES'!B14+'[35]QTDE DE AÇÕES'!B14)</f>
        <v>1938147010.2042198</v>
      </c>
      <c r="D14" s="306">
        <f t="shared" si="1"/>
        <v>43015</v>
      </c>
      <c r="E14" s="312">
        <f>SUM('[1]QTDE DE AÇÕES'!E14+'[2]QTDE DE AÇÕES'!E14+'[3]QTDE DE AÇÕES'!E14+'[4]QTDE DE AÇÕES'!E14+'[5]QTDE DE AÇÕES'!E14+'[6]QTDE DE AÇÕES'!E14+'[7]QTDE DE AÇÕES'!E14+'[8]QTDE DE AÇÕES'!E14+'[9]QTDE DE AÇÕES'!E14+'[10]QTDE DE AÇÕES'!E14+'[11]QTDE DE AÇÕES'!E14+'[12]QTDE DE AÇÕES'!E14+'[13]QTDE DE AÇÕES'!E14+'[14]QTDE DE AÇÕES'!E14+'[15]QTDE DE AÇÕES'!E14+'[16]QTDE DE AÇÕES'!E14+'[17]QTDE DE AÇÕES'!E14+'[18]QTDE DE AÇÕES'!E14+'[19]QTDE DE AÇÕES'!E14+'[20]QTDE DE AÇÕES'!E14+'[21]QTDE DE AÇÕES'!E14+'[22]QTDE DE AÇÕES'!E14+'[23]QTDE DE AÇÕES'!E14+'[24]QTDE DE AÇÕES'!E14+'[25]QTDE DE AÇÕES'!E14+'[26]QTDE DE AÇÕES'!E14+'[27]QTDE DE AÇÕES'!E14+'[28]QTDE DE AÇÕES'!E14+'[29]QTDE DE AÇÕES'!E14+'[30]QTDE DE AÇÕES'!E14+'[31]QTDE DE AÇÕES'!E14+'[32]QTDE DE AÇÕES'!E14+'[33]QTDE DE AÇÕES'!E14+'[34]QTDE DE AÇÕES'!E14+'[35]QTDE DE AÇÕES'!E14)</f>
        <v>2201945087.6778197</v>
      </c>
      <c r="J14" s="279"/>
    </row>
    <row r="15" spans="1:10" x14ac:dyDescent="0.25">
      <c r="A15" s="306">
        <f t="shared" si="0"/>
        <v>42680</v>
      </c>
      <c r="B15" s="312">
        <f>SUM('[1]QTDE DE AÇÕES'!B15+'[2]QTDE DE AÇÕES'!B15+'[3]QTDE DE AÇÕES'!B15+'[4]QTDE DE AÇÕES'!B15+'[5]QTDE DE AÇÕES'!B15+'[6]QTDE DE AÇÕES'!B15+'[7]QTDE DE AÇÕES'!B15+'[8]QTDE DE AÇÕES'!B15+'[9]QTDE DE AÇÕES'!B15+'[10]QTDE DE AÇÕES'!B15+'[11]QTDE DE AÇÕES'!B15+'[12]QTDE DE AÇÕES'!B15+'[13]QTDE DE AÇÕES'!B15+'[14]QTDE DE AÇÕES'!B15+'[15]QTDE DE AÇÕES'!B15+'[16]QTDE DE AÇÕES'!B15+'[17]QTDE DE AÇÕES'!B15+'[18]QTDE DE AÇÕES'!B15+'[19]QTDE DE AÇÕES'!B15+'[20]QTDE DE AÇÕES'!B15+'[21]QTDE DE AÇÕES'!B15+'[22]QTDE DE AÇÕES'!B15+'[23]QTDE DE AÇÕES'!B15+'[24]QTDE DE AÇÕES'!B15+'[25]QTDE DE AÇÕES'!B15+'[26]QTDE DE AÇÕES'!B15+'[27]QTDE DE AÇÕES'!B15+'[28]QTDE DE AÇÕES'!B15+'[29]QTDE DE AÇÕES'!B15+'[30]QTDE DE AÇÕES'!B15+'[31]QTDE DE AÇÕES'!B15+'[32]QTDE DE AÇÕES'!B15+'[33]QTDE DE AÇÕES'!B15+'[34]QTDE DE AÇÕES'!B15+'[35]QTDE DE AÇÕES'!B15)</f>
        <v>1882325090.5896001</v>
      </c>
      <c r="D15" s="306">
        <f t="shared" si="1"/>
        <v>43046</v>
      </c>
      <c r="E15" s="312">
        <f>SUM('[1]QTDE DE AÇÕES'!E15+'[2]QTDE DE AÇÕES'!E15+'[3]QTDE DE AÇÕES'!E15+'[4]QTDE DE AÇÕES'!E15+'[5]QTDE DE AÇÕES'!E15+'[6]QTDE DE AÇÕES'!E15+'[7]QTDE DE AÇÕES'!E15+'[8]QTDE DE AÇÕES'!E15+'[9]QTDE DE AÇÕES'!E15+'[10]QTDE DE AÇÕES'!E15+'[11]QTDE DE AÇÕES'!E15+'[12]QTDE DE AÇÕES'!E15+'[13]QTDE DE AÇÕES'!E15+'[14]QTDE DE AÇÕES'!E15+'[15]QTDE DE AÇÕES'!E15+'[16]QTDE DE AÇÕES'!E15+'[17]QTDE DE AÇÕES'!E15+'[18]QTDE DE AÇÕES'!E15+'[19]QTDE DE AÇÕES'!E15+'[20]QTDE DE AÇÕES'!E15+'[21]QTDE DE AÇÕES'!E15+'[22]QTDE DE AÇÕES'!E15+'[23]QTDE DE AÇÕES'!E15+'[24]QTDE DE AÇÕES'!E15+'[25]QTDE DE AÇÕES'!E15+'[26]QTDE DE AÇÕES'!E15+'[27]QTDE DE AÇÕES'!E15+'[28]QTDE DE AÇÕES'!E15+'[29]QTDE DE AÇÕES'!E15+'[30]QTDE DE AÇÕES'!E15+'[31]QTDE DE AÇÕES'!E15+'[32]QTDE DE AÇÕES'!E15+'[33]QTDE DE AÇÕES'!E15+'[34]QTDE DE AÇÕES'!E15+'[35]QTDE DE AÇÕES'!E15)</f>
        <v>2149343489.3764396</v>
      </c>
      <c r="J15" s="279"/>
    </row>
    <row r="16" spans="1:10" x14ac:dyDescent="0.25">
      <c r="A16" s="306">
        <f t="shared" si="0"/>
        <v>42711</v>
      </c>
      <c r="B16" s="312">
        <f>SUM('[1]QTDE DE AÇÕES'!B16+'[2]QTDE DE AÇÕES'!B16+'[3]QTDE DE AÇÕES'!B16+'[4]QTDE DE AÇÕES'!B16+'[5]QTDE DE AÇÕES'!B16+'[6]QTDE DE AÇÕES'!B16+'[7]QTDE DE AÇÕES'!B16+'[8]QTDE DE AÇÕES'!B16+'[9]QTDE DE AÇÕES'!B16+'[10]QTDE DE AÇÕES'!B16+'[11]QTDE DE AÇÕES'!B16+'[12]QTDE DE AÇÕES'!B16+'[13]QTDE DE AÇÕES'!B16+'[14]QTDE DE AÇÕES'!B16+'[15]QTDE DE AÇÕES'!B16+'[16]QTDE DE AÇÕES'!B16+'[17]QTDE DE AÇÕES'!B16+'[18]QTDE DE AÇÕES'!B16+'[19]QTDE DE AÇÕES'!B16+'[20]QTDE DE AÇÕES'!B16+'[21]QTDE DE AÇÕES'!B16+'[22]QTDE DE AÇÕES'!B16+'[23]QTDE DE AÇÕES'!B16+'[24]QTDE DE AÇÕES'!B16+'[25]QTDE DE AÇÕES'!B16+'[26]QTDE DE AÇÕES'!B16+'[27]QTDE DE AÇÕES'!B16+'[28]QTDE DE AÇÕES'!B16+'[29]QTDE DE AÇÕES'!B16+'[30]QTDE DE AÇÕES'!B16+'[31]QTDE DE AÇÕES'!B16+'[32]QTDE DE AÇÕES'!B16+'[33]QTDE DE AÇÕES'!B16+'[34]QTDE DE AÇÕES'!B16+'[35]QTDE DE AÇÕES'!B16)</f>
        <v>1834421048.5370629</v>
      </c>
      <c r="D16" s="306">
        <f t="shared" si="1"/>
        <v>43077</v>
      </c>
      <c r="E16" s="312">
        <f>SUM('[1]QTDE DE AÇÕES'!E16+'[2]QTDE DE AÇÕES'!E16+'[3]QTDE DE AÇÕES'!E16+'[4]QTDE DE AÇÕES'!E16+'[5]QTDE DE AÇÕES'!E16+'[6]QTDE DE AÇÕES'!E16+'[7]QTDE DE AÇÕES'!E16+'[8]QTDE DE AÇÕES'!E16+'[9]QTDE DE AÇÕES'!E16+'[10]QTDE DE AÇÕES'!E16+'[11]QTDE DE AÇÕES'!E16+'[12]QTDE DE AÇÕES'!E16+'[13]QTDE DE AÇÕES'!E16+'[14]QTDE DE AÇÕES'!E16+'[15]QTDE DE AÇÕES'!E16+'[16]QTDE DE AÇÕES'!E16+'[17]QTDE DE AÇÕES'!E16+'[18]QTDE DE AÇÕES'!E16+'[19]QTDE DE AÇÕES'!E16+'[20]QTDE DE AÇÕES'!E16+'[21]QTDE DE AÇÕES'!E16+'[22]QTDE DE AÇÕES'!E16+'[23]QTDE DE AÇÕES'!E16+'[24]QTDE DE AÇÕES'!E16+'[25]QTDE DE AÇÕES'!E16+'[26]QTDE DE AÇÕES'!E16+'[27]QTDE DE AÇÕES'!E16+'[28]QTDE DE AÇÕES'!E16+'[29]QTDE DE AÇÕES'!E16+'[30]QTDE DE AÇÕES'!E16+'[31]QTDE DE AÇÕES'!E16+'[32]QTDE DE AÇÕES'!E16+'[33]QTDE DE AÇÕES'!E16+'[34]QTDE DE AÇÕES'!E16+'[35]QTDE DE AÇÕES'!E16)</f>
        <v>2246141845.25453</v>
      </c>
      <c r="J16" s="279"/>
    </row>
    <row r="17" spans="1:10" x14ac:dyDescent="0.25">
      <c r="B17" s="312"/>
      <c r="D17" s="306"/>
      <c r="E17" s="313"/>
      <c r="J17" s="279"/>
    </row>
    <row r="18" spans="1:10" x14ac:dyDescent="0.25">
      <c r="A18" s="307" t="s">
        <v>322</v>
      </c>
      <c r="B18" s="308">
        <f>AVERAGE(B5:B16)</f>
        <v>1699416964.9412553</v>
      </c>
      <c r="D18" s="307" t="s">
        <v>322</v>
      </c>
      <c r="E18" s="308">
        <f>AVERAGE(E5:E16)</f>
        <v>2018064489.372324</v>
      </c>
      <c r="J18" s="279"/>
    </row>
    <row r="19" spans="1:10" x14ac:dyDescent="0.25">
      <c r="A19" s="306"/>
      <c r="J19" s="279"/>
    </row>
    <row r="20" spans="1:10" x14ac:dyDescent="0.25">
      <c r="J20" s="279"/>
    </row>
    <row r="21" spans="1:10" x14ac:dyDescent="0.25">
      <c r="J21" s="279"/>
    </row>
    <row r="22" spans="1:10" x14ac:dyDescent="0.25">
      <c r="J22" s="279"/>
    </row>
    <row r="23" spans="1:10" x14ac:dyDescent="0.25">
      <c r="J23" s="279"/>
    </row>
    <row r="24" spans="1:10" x14ac:dyDescent="0.25">
      <c r="J24" s="279"/>
    </row>
    <row r="25" spans="1:10" x14ac:dyDescent="0.25">
      <c r="J25" s="279"/>
    </row>
    <row r="26" spans="1:10" x14ac:dyDescent="0.25">
      <c r="J26" s="279"/>
    </row>
    <row r="27" spans="1:10" x14ac:dyDescent="0.25">
      <c r="J27" s="279"/>
    </row>
    <row r="28" spans="1:10" x14ac:dyDescent="0.25">
      <c r="J28" s="279"/>
    </row>
    <row r="29" spans="1:10" x14ac:dyDescent="0.25">
      <c r="J29" s="279"/>
    </row>
    <row r="30" spans="1:10" x14ac:dyDescent="0.25">
      <c r="J30" s="279"/>
    </row>
    <row r="31" spans="1:10" x14ac:dyDescent="0.25">
      <c r="J31" s="279"/>
    </row>
    <row r="32" spans="1:10" x14ac:dyDescent="0.25">
      <c r="J32" s="279"/>
    </row>
    <row r="33" spans="10:10" x14ac:dyDescent="0.25">
      <c r="J33" s="279"/>
    </row>
    <row r="34" spans="10:10" x14ac:dyDescent="0.25">
      <c r="J34" s="279"/>
    </row>
    <row r="35" spans="10:10" x14ac:dyDescent="0.25">
      <c r="J35" s="279"/>
    </row>
    <row r="36" spans="10:10" x14ac:dyDescent="0.25">
      <c r="J36" s="279"/>
    </row>
    <row r="37" spans="10:10" x14ac:dyDescent="0.25">
      <c r="J37" s="279"/>
    </row>
    <row r="38" spans="10:10" x14ac:dyDescent="0.25">
      <c r="J38" s="279"/>
    </row>
    <row r="39" spans="10:10" x14ac:dyDescent="0.25">
      <c r="J39" s="279"/>
    </row>
    <row r="40" spans="10:10" x14ac:dyDescent="0.25">
      <c r="J40" s="279"/>
    </row>
    <row r="41" spans="10:10" x14ac:dyDescent="0.25">
      <c r="J41" s="279"/>
    </row>
    <row r="42" spans="10:10" x14ac:dyDescent="0.25">
      <c r="J42" s="279"/>
    </row>
    <row r="43" spans="10:10" x14ac:dyDescent="0.25">
      <c r="J43" s="279"/>
    </row>
    <row r="44" spans="10:10" x14ac:dyDescent="0.25">
      <c r="J44" s="279"/>
    </row>
    <row r="45" spans="10:10" x14ac:dyDescent="0.25">
      <c r="J45" s="279"/>
    </row>
    <row r="46" spans="10:10" x14ac:dyDescent="0.25">
      <c r="J46" s="279"/>
    </row>
    <row r="47" spans="10:10" x14ac:dyDescent="0.25">
      <c r="J47" s="279"/>
    </row>
    <row r="48" spans="10:10" x14ac:dyDescent="0.25">
      <c r="J48" s="279"/>
    </row>
    <row r="49" spans="10:10" x14ac:dyDescent="0.25">
      <c r="J49" s="279"/>
    </row>
    <row r="50" spans="10:10" x14ac:dyDescent="0.25">
      <c r="J50" s="279"/>
    </row>
    <row r="51" spans="10:10" x14ac:dyDescent="0.25">
      <c r="J51" s="279"/>
    </row>
    <row r="52" spans="10:10" x14ac:dyDescent="0.25">
      <c r="J52" s="279"/>
    </row>
    <row r="53" spans="10:10" x14ac:dyDescent="0.25">
      <c r="J53" s="279"/>
    </row>
    <row r="54" spans="10:10" x14ac:dyDescent="0.25">
      <c r="J54" s="279"/>
    </row>
    <row r="55" spans="10:10" x14ac:dyDescent="0.25">
      <c r="J55" s="279"/>
    </row>
    <row r="56" spans="10:10" x14ac:dyDescent="0.25">
      <c r="J56" s="279"/>
    </row>
    <row r="57" spans="10:10" x14ac:dyDescent="0.25">
      <c r="J57" s="279"/>
    </row>
    <row r="58" spans="10:10" x14ac:dyDescent="0.25">
      <c r="J58" s="279"/>
    </row>
    <row r="59" spans="10:10" x14ac:dyDescent="0.25">
      <c r="J59" s="279"/>
    </row>
    <row r="60" spans="10:10" x14ac:dyDescent="0.25">
      <c r="J60" s="279"/>
    </row>
    <row r="61" spans="10:10" x14ac:dyDescent="0.25">
      <c r="J61" s="279"/>
    </row>
    <row r="62" spans="10:10" x14ac:dyDescent="0.25">
      <c r="J62" s="279"/>
    </row>
    <row r="63" spans="10:10" x14ac:dyDescent="0.25">
      <c r="J63" s="279"/>
    </row>
    <row r="64" spans="10:10" x14ac:dyDescent="0.25">
      <c r="J64" s="279"/>
    </row>
    <row r="65" spans="10:10" x14ac:dyDescent="0.25">
      <c r="J65" s="279"/>
    </row>
    <row r="66" spans="10:10" x14ac:dyDescent="0.25">
      <c r="J66" s="279"/>
    </row>
    <row r="67" spans="10:10" x14ac:dyDescent="0.25">
      <c r="J67" s="279"/>
    </row>
    <row r="68" spans="10:10" x14ac:dyDescent="0.25">
      <c r="J68" s="279"/>
    </row>
    <row r="69" spans="10:10" x14ac:dyDescent="0.25">
      <c r="J69" s="279"/>
    </row>
    <row r="70" spans="10:10" x14ac:dyDescent="0.25">
      <c r="J70" s="279"/>
    </row>
    <row r="71" spans="10:10" x14ac:dyDescent="0.25">
      <c r="J71" s="279"/>
    </row>
    <row r="72" spans="10:10" x14ac:dyDescent="0.25">
      <c r="J72" s="279"/>
    </row>
    <row r="73" spans="10:10" x14ac:dyDescent="0.25">
      <c r="J73" s="279"/>
    </row>
    <row r="74" spans="10:10" x14ac:dyDescent="0.25">
      <c r="J74" s="279"/>
    </row>
    <row r="75" spans="10:10" x14ac:dyDescent="0.25">
      <c r="J75" s="279"/>
    </row>
    <row r="76" spans="10:10" x14ac:dyDescent="0.25">
      <c r="J76" s="279"/>
    </row>
    <row r="77" spans="10:10" x14ac:dyDescent="0.25">
      <c r="J77" s="279"/>
    </row>
    <row r="78" spans="10:10" x14ac:dyDescent="0.25">
      <c r="J78" s="279"/>
    </row>
    <row r="79" spans="10:10" x14ac:dyDescent="0.25">
      <c r="J79" s="279"/>
    </row>
    <row r="80" spans="10:10" x14ac:dyDescent="0.25">
      <c r="J80" s="279"/>
    </row>
    <row r="81" spans="10:10" x14ac:dyDescent="0.25">
      <c r="J81" s="279"/>
    </row>
    <row r="82" spans="10:10" x14ac:dyDescent="0.25">
      <c r="J82" s="279"/>
    </row>
    <row r="83" spans="10:10" x14ac:dyDescent="0.25">
      <c r="J83" s="279"/>
    </row>
    <row r="84" spans="10:10" x14ac:dyDescent="0.25">
      <c r="J84" s="279"/>
    </row>
    <row r="85" spans="10:10" x14ac:dyDescent="0.25">
      <c r="J85" s="279"/>
    </row>
    <row r="86" spans="10:10" x14ac:dyDescent="0.25">
      <c r="J86" s="279"/>
    </row>
    <row r="87" spans="10:10" x14ac:dyDescent="0.25">
      <c r="J87" s="279"/>
    </row>
    <row r="88" spans="10:10" x14ac:dyDescent="0.25">
      <c r="J88" s="279"/>
    </row>
    <row r="89" spans="10:10" x14ac:dyDescent="0.25">
      <c r="J89" s="279"/>
    </row>
    <row r="90" spans="10:10" x14ac:dyDescent="0.25">
      <c r="J90" s="279"/>
    </row>
    <row r="91" spans="10:10" x14ac:dyDescent="0.25">
      <c r="J91" s="279"/>
    </row>
    <row r="92" spans="10:10" x14ac:dyDescent="0.25">
      <c r="J92" s="279"/>
    </row>
    <row r="93" spans="10:10" x14ac:dyDescent="0.25">
      <c r="J93" s="279"/>
    </row>
    <row r="94" spans="10:10" x14ac:dyDescent="0.25">
      <c r="J94" s="279"/>
    </row>
    <row r="95" spans="10:10" x14ac:dyDescent="0.25">
      <c r="J95" s="279"/>
    </row>
    <row r="96" spans="10:10" x14ac:dyDescent="0.25">
      <c r="J96" s="279"/>
    </row>
    <row r="97" spans="10:10" x14ac:dyDescent="0.25">
      <c r="J97" s="279"/>
    </row>
    <row r="98" spans="10:10" x14ac:dyDescent="0.25">
      <c r="J98" s="279"/>
    </row>
    <row r="99" spans="10:10" x14ac:dyDescent="0.25">
      <c r="J99" s="279"/>
    </row>
    <row r="100" spans="10:10" x14ac:dyDescent="0.25">
      <c r="J100" s="279"/>
    </row>
    <row r="101" spans="10:10" x14ac:dyDescent="0.25">
      <c r="J101" s="279"/>
    </row>
    <row r="102" spans="10:10" x14ac:dyDescent="0.25">
      <c r="J102" s="279"/>
    </row>
    <row r="103" spans="10:10" x14ac:dyDescent="0.25">
      <c r="J103" s="279"/>
    </row>
    <row r="104" spans="10:10" x14ac:dyDescent="0.25">
      <c r="J104" s="279"/>
    </row>
    <row r="105" spans="10:10" x14ac:dyDescent="0.25">
      <c r="J105" s="279"/>
    </row>
    <row r="106" spans="10:10" x14ac:dyDescent="0.25">
      <c r="J106" s="279"/>
    </row>
    <row r="107" spans="10:10" x14ac:dyDescent="0.25">
      <c r="J107" s="279"/>
    </row>
    <row r="108" spans="10:10" x14ac:dyDescent="0.25">
      <c r="J108" s="279"/>
    </row>
    <row r="109" spans="10:10" x14ac:dyDescent="0.25">
      <c r="J109" s="279"/>
    </row>
    <row r="110" spans="10:10" x14ac:dyDescent="0.25">
      <c r="J110" s="279"/>
    </row>
    <row r="111" spans="10:10" x14ac:dyDescent="0.25">
      <c r="J111" s="279"/>
    </row>
    <row r="112" spans="10:10" x14ac:dyDescent="0.25">
      <c r="J112" s="279"/>
    </row>
    <row r="113" spans="10:10" x14ac:dyDescent="0.25">
      <c r="J113" s="279"/>
    </row>
    <row r="114" spans="10:10" x14ac:dyDescent="0.25">
      <c r="J114" s="279"/>
    </row>
    <row r="115" spans="10:10" x14ac:dyDescent="0.25">
      <c r="J115" s="279"/>
    </row>
    <row r="116" spans="10:10" x14ac:dyDescent="0.25">
      <c r="J116" s="279"/>
    </row>
    <row r="117" spans="10:10" x14ac:dyDescent="0.25">
      <c r="J117" s="279"/>
    </row>
    <row r="118" spans="10:10" x14ac:dyDescent="0.25">
      <c r="J118" s="279"/>
    </row>
    <row r="119" spans="10:10" x14ac:dyDescent="0.25">
      <c r="J119" s="279"/>
    </row>
    <row r="120" spans="10:10" x14ac:dyDescent="0.25">
      <c r="J120" s="279"/>
    </row>
    <row r="121" spans="10:10" x14ac:dyDescent="0.25">
      <c r="J121" s="279"/>
    </row>
    <row r="122" spans="10:10" x14ac:dyDescent="0.25">
      <c r="J122" s="279"/>
    </row>
    <row r="123" spans="10:10" x14ac:dyDescent="0.25">
      <c r="J123" s="279"/>
    </row>
    <row r="124" spans="10:10" x14ac:dyDescent="0.25">
      <c r="J124" s="279"/>
    </row>
    <row r="125" spans="10:10" x14ac:dyDescent="0.25">
      <c r="J125" s="279"/>
    </row>
    <row r="126" spans="10:10" x14ac:dyDescent="0.25">
      <c r="J126" s="279"/>
    </row>
    <row r="127" spans="10:10" x14ac:dyDescent="0.25">
      <c r="J127" s="279"/>
    </row>
    <row r="128" spans="10:10" x14ac:dyDescent="0.25">
      <c r="J128" s="279"/>
    </row>
    <row r="129" spans="10:10" x14ac:dyDescent="0.25">
      <c r="J129" s="279"/>
    </row>
    <row r="130" spans="10:10" x14ac:dyDescent="0.25">
      <c r="J130" s="279"/>
    </row>
    <row r="131" spans="10:10" x14ac:dyDescent="0.25">
      <c r="J131" s="279"/>
    </row>
    <row r="132" spans="10:10" x14ac:dyDescent="0.25">
      <c r="J132" s="279"/>
    </row>
    <row r="133" spans="10:10" x14ac:dyDescent="0.25">
      <c r="J133" s="279"/>
    </row>
    <row r="134" spans="10:10" x14ac:dyDescent="0.25">
      <c r="J134" s="279"/>
    </row>
    <row r="135" spans="10:10" x14ac:dyDescent="0.25">
      <c r="J135" s="279"/>
    </row>
    <row r="136" spans="10:10" x14ac:dyDescent="0.25">
      <c r="J136" s="279"/>
    </row>
    <row r="137" spans="10:10" x14ac:dyDescent="0.25">
      <c r="J137" s="279"/>
    </row>
    <row r="138" spans="10:10" x14ac:dyDescent="0.25">
      <c r="J138" s="279"/>
    </row>
    <row r="139" spans="10:10" x14ac:dyDescent="0.25">
      <c r="J139" s="279"/>
    </row>
    <row r="140" spans="10:10" x14ac:dyDescent="0.25">
      <c r="J140" s="279"/>
    </row>
    <row r="141" spans="10:10" x14ac:dyDescent="0.25">
      <c r="J141" s="279"/>
    </row>
    <row r="142" spans="10:10" x14ac:dyDescent="0.25">
      <c r="J142" s="279"/>
    </row>
    <row r="143" spans="10:10" x14ac:dyDescent="0.25">
      <c r="J143" s="279"/>
    </row>
    <row r="144" spans="10:10" x14ac:dyDescent="0.25">
      <c r="J144" s="279"/>
    </row>
    <row r="145" spans="10:10" x14ac:dyDescent="0.25">
      <c r="J145" s="279"/>
    </row>
    <row r="146" spans="10:10" x14ac:dyDescent="0.25">
      <c r="J146" s="279"/>
    </row>
    <row r="147" spans="10:10" x14ac:dyDescent="0.25">
      <c r="J147" s="279"/>
    </row>
    <row r="148" spans="10:10" x14ac:dyDescent="0.25">
      <c r="J148" s="279"/>
    </row>
    <row r="149" spans="10:10" x14ac:dyDescent="0.25">
      <c r="J149" s="279"/>
    </row>
    <row r="150" spans="10:10" x14ac:dyDescent="0.25">
      <c r="J150" s="279"/>
    </row>
    <row r="151" spans="10:10" x14ac:dyDescent="0.25">
      <c r="J151" s="279"/>
    </row>
    <row r="152" spans="10:10" x14ac:dyDescent="0.25">
      <c r="J152" s="279"/>
    </row>
    <row r="153" spans="10:10" x14ac:dyDescent="0.25">
      <c r="J153" s="279"/>
    </row>
    <row r="154" spans="10:10" x14ac:dyDescent="0.25">
      <c r="J154" s="279"/>
    </row>
    <row r="155" spans="10:10" x14ac:dyDescent="0.25">
      <c r="J155" s="279"/>
    </row>
    <row r="156" spans="10:10" x14ac:dyDescent="0.25">
      <c r="J156" s="279"/>
    </row>
    <row r="157" spans="10:10" x14ac:dyDescent="0.25">
      <c r="J157" s="279"/>
    </row>
    <row r="158" spans="10:10" x14ac:dyDescent="0.25">
      <c r="J158" s="279"/>
    </row>
    <row r="159" spans="10:10" x14ac:dyDescent="0.25">
      <c r="J159" s="279"/>
    </row>
    <row r="160" spans="10:10" x14ac:dyDescent="0.25">
      <c r="J160" s="279"/>
    </row>
    <row r="161" spans="10:10" x14ac:dyDescent="0.25">
      <c r="J161" s="279"/>
    </row>
    <row r="162" spans="10:10" x14ac:dyDescent="0.25">
      <c r="J162" s="279"/>
    </row>
    <row r="163" spans="10:10" x14ac:dyDescent="0.25">
      <c r="J163" s="279"/>
    </row>
    <row r="164" spans="10:10" x14ac:dyDescent="0.25">
      <c r="J164" s="279"/>
    </row>
    <row r="165" spans="10:10" x14ac:dyDescent="0.25">
      <c r="J165" s="279"/>
    </row>
    <row r="166" spans="10:10" x14ac:dyDescent="0.25">
      <c r="J166" s="279"/>
    </row>
    <row r="167" spans="10:10" x14ac:dyDescent="0.25">
      <c r="J167" s="279"/>
    </row>
    <row r="168" spans="10:10" x14ac:dyDescent="0.25">
      <c r="J168" s="279"/>
    </row>
    <row r="169" spans="10:10" x14ac:dyDescent="0.25">
      <c r="J169" s="279"/>
    </row>
    <row r="170" spans="10:10" x14ac:dyDescent="0.25">
      <c r="J170" s="279"/>
    </row>
    <row r="171" spans="10:10" x14ac:dyDescent="0.25">
      <c r="J171" s="279"/>
    </row>
    <row r="172" spans="10:10" x14ac:dyDescent="0.25">
      <c r="J172" s="279"/>
    </row>
    <row r="173" spans="10:10" x14ac:dyDescent="0.25">
      <c r="J173" s="279"/>
    </row>
    <row r="174" spans="10:10" x14ac:dyDescent="0.25">
      <c r="J174" s="279"/>
    </row>
    <row r="175" spans="10:10" x14ac:dyDescent="0.25">
      <c r="J175" s="279"/>
    </row>
    <row r="176" spans="10:10" x14ac:dyDescent="0.25">
      <c r="J176" s="279"/>
    </row>
    <row r="177" spans="10:10" x14ac:dyDescent="0.25">
      <c r="J177" s="279"/>
    </row>
    <row r="178" spans="10:10" x14ac:dyDescent="0.25">
      <c r="J178" s="279"/>
    </row>
    <row r="179" spans="10:10" x14ac:dyDescent="0.25">
      <c r="J179" s="279"/>
    </row>
    <row r="180" spans="10:10" x14ac:dyDescent="0.25">
      <c r="J180" s="279"/>
    </row>
    <row r="181" spans="10:10" x14ac:dyDescent="0.25">
      <c r="J181" s="279"/>
    </row>
    <row r="182" spans="10:10" x14ac:dyDescent="0.25">
      <c r="J182" s="279"/>
    </row>
    <row r="183" spans="10:10" x14ac:dyDescent="0.25">
      <c r="J183" s="279"/>
    </row>
    <row r="184" spans="10:10" x14ac:dyDescent="0.25">
      <c r="J184" s="279"/>
    </row>
    <row r="185" spans="10:10" x14ac:dyDescent="0.25">
      <c r="J185" s="279"/>
    </row>
    <row r="186" spans="10:10" x14ac:dyDescent="0.25">
      <c r="J186" s="279"/>
    </row>
    <row r="187" spans="10:10" x14ac:dyDescent="0.25">
      <c r="J187" s="279"/>
    </row>
    <row r="188" spans="10:10" x14ac:dyDescent="0.25">
      <c r="J188" s="279"/>
    </row>
    <row r="189" spans="10:10" x14ac:dyDescent="0.25">
      <c r="J189" s="279"/>
    </row>
    <row r="190" spans="10:10" x14ac:dyDescent="0.25">
      <c r="J190" s="279"/>
    </row>
    <row r="191" spans="10:10" x14ac:dyDescent="0.25">
      <c r="J191" s="279"/>
    </row>
    <row r="192" spans="10:10" x14ac:dyDescent="0.25">
      <c r="J192" s="279"/>
    </row>
    <row r="193" spans="10:10" x14ac:dyDescent="0.25">
      <c r="J193" s="279"/>
    </row>
    <row r="194" spans="10:10" x14ac:dyDescent="0.25">
      <c r="J194" s="279"/>
    </row>
    <row r="195" spans="10:10" x14ac:dyDescent="0.25">
      <c r="J195" s="279"/>
    </row>
    <row r="196" spans="10:10" x14ac:dyDescent="0.25">
      <c r="J196" s="279"/>
    </row>
    <row r="197" spans="10:10" x14ac:dyDescent="0.25">
      <c r="J197" s="279"/>
    </row>
    <row r="198" spans="10:10" x14ac:dyDescent="0.25">
      <c r="J198" s="279"/>
    </row>
    <row r="199" spans="10:10" x14ac:dyDescent="0.25">
      <c r="J199" s="279"/>
    </row>
    <row r="200" spans="10:10" x14ac:dyDescent="0.25">
      <c r="J200" s="279"/>
    </row>
    <row r="201" spans="10:10" x14ac:dyDescent="0.25">
      <c r="J201" s="279"/>
    </row>
    <row r="202" spans="10:10" x14ac:dyDescent="0.25">
      <c r="J202" s="279"/>
    </row>
    <row r="203" spans="10:10" x14ac:dyDescent="0.25">
      <c r="J203" s="279"/>
    </row>
    <row r="204" spans="10:10" x14ac:dyDescent="0.25">
      <c r="J204" s="279"/>
    </row>
    <row r="205" spans="10:10" x14ac:dyDescent="0.25">
      <c r="J205" s="279"/>
    </row>
    <row r="206" spans="10:10" x14ac:dyDescent="0.25">
      <c r="J206" s="279"/>
    </row>
    <row r="207" spans="10:10" x14ac:dyDescent="0.25">
      <c r="J207" s="279"/>
    </row>
    <row r="208" spans="10:10" x14ac:dyDescent="0.25">
      <c r="J208" s="279"/>
    </row>
    <row r="209" spans="10:10" x14ac:dyDescent="0.25">
      <c r="J209" s="279"/>
    </row>
    <row r="210" spans="10:10" x14ac:dyDescent="0.25">
      <c r="J210" s="279"/>
    </row>
    <row r="211" spans="10:10" x14ac:dyDescent="0.25">
      <c r="J211" s="279"/>
    </row>
    <row r="212" spans="10:10" x14ac:dyDescent="0.25">
      <c r="J212" s="279"/>
    </row>
    <row r="213" spans="10:10" x14ac:dyDescent="0.25">
      <c r="J213" s="279"/>
    </row>
    <row r="214" spans="10:10" x14ac:dyDescent="0.25">
      <c r="J214" s="279"/>
    </row>
    <row r="215" spans="10:10" x14ac:dyDescent="0.25">
      <c r="J215" s="279"/>
    </row>
    <row r="216" spans="10:10" x14ac:dyDescent="0.25">
      <c r="J216" s="279"/>
    </row>
    <row r="217" spans="10:10" x14ac:dyDescent="0.25">
      <c r="J217" s="279"/>
    </row>
    <row r="218" spans="10:10" x14ac:dyDescent="0.25">
      <c r="J218" s="279"/>
    </row>
    <row r="219" spans="10:10" x14ac:dyDescent="0.25">
      <c r="J219" s="279"/>
    </row>
    <row r="220" spans="10:10" x14ac:dyDescent="0.25">
      <c r="J220" s="279"/>
    </row>
    <row r="221" spans="10:10" x14ac:dyDescent="0.25">
      <c r="J221" s="279"/>
    </row>
    <row r="222" spans="10:10" x14ac:dyDescent="0.25">
      <c r="J222" s="279"/>
    </row>
    <row r="223" spans="10:10" x14ac:dyDescent="0.25">
      <c r="J223" s="279"/>
    </row>
    <row r="224" spans="10:10" x14ac:dyDescent="0.25">
      <c r="J224" s="279"/>
    </row>
    <row r="225" spans="10:10" x14ac:dyDescent="0.25">
      <c r="J225" s="279"/>
    </row>
    <row r="226" spans="10:10" x14ac:dyDescent="0.25">
      <c r="J226" s="279"/>
    </row>
    <row r="227" spans="10:10" x14ac:dyDescent="0.25">
      <c r="J227" s="279"/>
    </row>
    <row r="228" spans="10:10" x14ac:dyDescent="0.25">
      <c r="J228" s="279"/>
    </row>
    <row r="229" spans="10:10" x14ac:dyDescent="0.25">
      <c r="J229" s="279"/>
    </row>
    <row r="230" spans="10:10" x14ac:dyDescent="0.25">
      <c r="J230" s="279"/>
    </row>
    <row r="231" spans="10:10" x14ac:dyDescent="0.25">
      <c r="J231" s="279"/>
    </row>
    <row r="232" spans="10:10" x14ac:dyDescent="0.25">
      <c r="J232" s="279"/>
    </row>
    <row r="233" spans="10:10" x14ac:dyDescent="0.25">
      <c r="J233" s="279"/>
    </row>
    <row r="234" spans="10:10" x14ac:dyDescent="0.25">
      <c r="J234" s="279"/>
    </row>
    <row r="235" spans="10:10" x14ac:dyDescent="0.25">
      <c r="J235" s="279"/>
    </row>
    <row r="236" spans="10:10" x14ac:dyDescent="0.25">
      <c r="J236" s="279"/>
    </row>
    <row r="237" spans="10:10" x14ac:dyDescent="0.25">
      <c r="J237" s="279"/>
    </row>
  </sheetData>
  <phoneticPr fontId="2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0"/>
  <sheetViews>
    <sheetView workbookViewId="0">
      <selection activeCell="E1" sqref="C1:E1"/>
    </sheetView>
  </sheetViews>
  <sheetFormatPr defaultRowHeight="15" x14ac:dyDescent="0.25"/>
  <cols>
    <col min="1" max="1" width="10.85546875" customWidth="1"/>
    <col min="2" max="2" width="69" bestFit="1" customWidth="1"/>
    <col min="3" max="5" width="16.85546875" bestFit="1" customWidth="1"/>
    <col min="6" max="6" width="11.28515625" bestFit="1" customWidth="1"/>
    <col min="7" max="7" width="10.85546875" bestFit="1" customWidth="1"/>
  </cols>
  <sheetData>
    <row r="1" spans="1:8" x14ac:dyDescent="0.25">
      <c r="A1" s="3" t="s">
        <v>0</v>
      </c>
      <c r="B1" s="4"/>
      <c r="C1" s="6"/>
      <c r="D1" s="6"/>
      <c r="E1" s="6"/>
    </row>
    <row r="2" spans="1:8" x14ac:dyDescent="0.25">
      <c r="A2" s="3"/>
      <c r="B2" s="14" t="s">
        <v>2</v>
      </c>
      <c r="C2" s="15">
        <v>2017</v>
      </c>
      <c r="D2" s="15">
        <v>2016</v>
      </c>
      <c r="E2" s="15">
        <v>2015</v>
      </c>
    </row>
    <row r="3" spans="1:8" x14ac:dyDescent="0.25">
      <c r="A3" s="7">
        <v>1</v>
      </c>
      <c r="B3" s="16" t="s">
        <v>3</v>
      </c>
      <c r="C3" s="17">
        <v>4488881262</v>
      </c>
      <c r="D3" s="17">
        <v>4379515386</v>
      </c>
      <c r="E3" s="17">
        <v>4543960778</v>
      </c>
      <c r="F3" s="41">
        <f>C4+C10-C3</f>
        <v>0</v>
      </c>
      <c r="G3" s="41">
        <f>D4+D10-D3</f>
        <v>0</v>
      </c>
      <c r="H3" s="41">
        <f>E4+E10-E3</f>
        <v>0</v>
      </c>
    </row>
    <row r="4" spans="1:8" x14ac:dyDescent="0.25">
      <c r="A4" s="7" t="s">
        <v>257</v>
      </c>
      <c r="B4" s="18" t="s">
        <v>4</v>
      </c>
      <c r="C4" s="19">
        <v>1563330158</v>
      </c>
      <c r="D4" s="19">
        <v>1519388381</v>
      </c>
      <c r="E4" s="19">
        <v>1605399281</v>
      </c>
      <c r="F4" s="41">
        <f>SUM(C5:C9)-C4</f>
        <v>0</v>
      </c>
      <c r="G4" s="41">
        <f>SUM(D5:D9)-D4</f>
        <v>0</v>
      </c>
      <c r="H4" s="41">
        <f>SUM(E5:E9)-E4</f>
        <v>0</v>
      </c>
    </row>
    <row r="5" spans="1:8" x14ac:dyDescent="0.25">
      <c r="A5" s="7" t="s">
        <v>258</v>
      </c>
      <c r="B5" s="20" t="s">
        <v>5</v>
      </c>
      <c r="C5" s="22">
        <v>324042003</v>
      </c>
      <c r="D5" s="22">
        <v>368691957</v>
      </c>
      <c r="E5" s="22">
        <v>527560303</v>
      </c>
    </row>
    <row r="6" spans="1:8" x14ac:dyDescent="0.25">
      <c r="A6" s="7" t="s">
        <v>259</v>
      </c>
      <c r="B6" s="20" t="s">
        <v>63</v>
      </c>
      <c r="C6" s="22">
        <v>207012456</v>
      </c>
      <c r="D6" s="22">
        <v>205316332</v>
      </c>
      <c r="E6" s="22">
        <v>160874311</v>
      </c>
    </row>
    <row r="7" spans="1:8" x14ac:dyDescent="0.25">
      <c r="A7" s="7" t="s">
        <v>260</v>
      </c>
      <c r="B7" s="23" t="s">
        <v>6</v>
      </c>
      <c r="C7" s="21">
        <v>461227741</v>
      </c>
      <c r="D7" s="21">
        <v>414780573</v>
      </c>
      <c r="E7" s="21">
        <v>401274422</v>
      </c>
    </row>
    <row r="8" spans="1:8" x14ac:dyDescent="0.25">
      <c r="A8" s="7" t="s">
        <v>261</v>
      </c>
      <c r="B8" s="23" t="s">
        <v>7</v>
      </c>
      <c r="C8" s="21">
        <v>310808550</v>
      </c>
      <c r="D8" s="21">
        <v>297048907</v>
      </c>
      <c r="E8" s="21">
        <v>328183831</v>
      </c>
    </row>
    <row r="9" spans="1:8" x14ac:dyDescent="0.25">
      <c r="A9" s="7"/>
      <c r="B9" s="23" t="s">
        <v>8</v>
      </c>
      <c r="C9" s="21">
        <v>260239408</v>
      </c>
      <c r="D9" s="21">
        <v>233550612</v>
      </c>
      <c r="E9" s="21">
        <v>187506414</v>
      </c>
    </row>
    <row r="10" spans="1:8" x14ac:dyDescent="0.25">
      <c r="A10" s="7" t="s">
        <v>262</v>
      </c>
      <c r="B10" s="18" t="s">
        <v>9</v>
      </c>
      <c r="C10" s="24">
        <v>2925551104</v>
      </c>
      <c r="D10" s="24">
        <v>2860127005</v>
      </c>
      <c r="E10" s="24">
        <v>2938561497</v>
      </c>
      <c r="F10" s="41">
        <f>SUM(C11:C12)-C10</f>
        <v>0</v>
      </c>
      <c r="G10" s="41">
        <f>SUM(D11:D12)-D10</f>
        <v>0</v>
      </c>
      <c r="H10" s="41">
        <f>SUM(E11:E12)-E10</f>
        <v>0</v>
      </c>
    </row>
    <row r="11" spans="1:8" x14ac:dyDescent="0.25">
      <c r="A11" s="7" t="s">
        <v>263</v>
      </c>
      <c r="B11" s="23" t="s">
        <v>10</v>
      </c>
      <c r="C11" s="25">
        <v>595903081</v>
      </c>
      <c r="D11" s="25">
        <v>578998111</v>
      </c>
      <c r="E11" s="25">
        <v>565963961</v>
      </c>
    </row>
    <row r="12" spans="1:8" x14ac:dyDescent="0.25">
      <c r="B12" s="23" t="s">
        <v>11</v>
      </c>
      <c r="C12" s="26">
        <v>2329648023</v>
      </c>
      <c r="D12" s="26">
        <v>2281128894</v>
      </c>
      <c r="E12" s="26">
        <v>2372597536</v>
      </c>
      <c r="F12" s="41">
        <f>SUM(C13:C15)-C12</f>
        <v>0</v>
      </c>
      <c r="G12" s="41">
        <f>SUM(D13:D15)-D12</f>
        <v>0</v>
      </c>
      <c r="H12" s="41">
        <f>SUM(E13:E15)-E12</f>
        <v>0</v>
      </c>
    </row>
    <row r="13" spans="1:8" x14ac:dyDescent="0.25">
      <c r="A13" s="7" t="s">
        <v>264</v>
      </c>
      <c r="B13" s="23" t="s">
        <v>12</v>
      </c>
      <c r="C13" s="25">
        <v>207068376</v>
      </c>
      <c r="D13" s="25">
        <v>199426626</v>
      </c>
      <c r="E13" s="25">
        <v>123389179</v>
      </c>
    </row>
    <row r="14" spans="1:8" x14ac:dyDescent="0.25">
      <c r="A14" s="7" t="s">
        <v>265</v>
      </c>
      <c r="B14" s="23" t="s">
        <v>13</v>
      </c>
      <c r="C14" s="25">
        <v>1594030251</v>
      </c>
      <c r="D14" s="25">
        <v>1566334659</v>
      </c>
      <c r="E14" s="25">
        <v>1743502913</v>
      </c>
    </row>
    <row r="15" spans="1:8" x14ac:dyDescent="0.25">
      <c r="A15" s="7" t="s">
        <v>266</v>
      </c>
      <c r="B15" s="23" t="s">
        <v>14</v>
      </c>
      <c r="C15" s="25">
        <v>528549396</v>
      </c>
      <c r="D15" s="25">
        <v>515367609</v>
      </c>
      <c r="E15" s="25">
        <v>505705444</v>
      </c>
    </row>
    <row r="16" spans="1:8" x14ac:dyDescent="0.25">
      <c r="A16" s="7"/>
      <c r="B16" s="42"/>
      <c r="C16" s="15">
        <v>2017</v>
      </c>
      <c r="D16" s="15">
        <v>2016</v>
      </c>
      <c r="E16" s="15">
        <v>2015</v>
      </c>
      <c r="F16" s="249">
        <f>C3-C17</f>
        <v>0</v>
      </c>
      <c r="G16" s="249">
        <f>D3-D17</f>
        <v>0</v>
      </c>
      <c r="H16" s="249">
        <f>E3-E17</f>
        <v>0</v>
      </c>
    </row>
    <row r="17" spans="1:8" x14ac:dyDescent="0.25">
      <c r="A17" s="7">
        <v>2</v>
      </c>
      <c r="B17" s="16" t="s">
        <v>15</v>
      </c>
      <c r="C17" s="27">
        <v>4488881262</v>
      </c>
      <c r="D17" s="27">
        <v>4379515386</v>
      </c>
      <c r="E17" s="27">
        <v>4543960778</v>
      </c>
      <c r="F17" s="249">
        <f>C18+C26+C34-C17</f>
        <v>0</v>
      </c>
      <c r="G17" s="249">
        <f>D18+D26+D34-D17</f>
        <v>0</v>
      </c>
      <c r="H17" s="249">
        <f>E18+E26+E34-E17</f>
        <v>0</v>
      </c>
    </row>
    <row r="18" spans="1:8" x14ac:dyDescent="0.25">
      <c r="A18" t="s">
        <v>232</v>
      </c>
      <c r="B18" s="18" t="s">
        <v>16</v>
      </c>
      <c r="C18" s="28">
        <v>984163528</v>
      </c>
      <c r="D18" s="28">
        <v>997011991</v>
      </c>
      <c r="E18" s="28">
        <v>980487473</v>
      </c>
      <c r="F18" s="249">
        <f>SUM(C19:C25)-C18</f>
        <v>0</v>
      </c>
      <c r="G18" s="249">
        <f>SUM(D19:D25)-D18</f>
        <v>0</v>
      </c>
      <c r="H18" s="249">
        <f>SUM(E19:E25)-E18</f>
        <v>0</v>
      </c>
    </row>
    <row r="19" spans="1:8" x14ac:dyDescent="0.25">
      <c r="A19" s="7" t="s">
        <v>233</v>
      </c>
      <c r="B19" s="23" t="s">
        <v>64</v>
      </c>
      <c r="C19" s="29">
        <v>41307009</v>
      </c>
      <c r="D19" s="29">
        <v>44538592</v>
      </c>
      <c r="E19" s="29">
        <v>37901593</v>
      </c>
    </row>
    <row r="20" spans="1:8" x14ac:dyDescent="0.25">
      <c r="A20" s="7" t="s">
        <v>234</v>
      </c>
      <c r="B20" s="23" t="s">
        <v>18</v>
      </c>
      <c r="C20" s="30">
        <v>306661701</v>
      </c>
      <c r="D20" s="30">
        <v>276325878</v>
      </c>
      <c r="E20" s="30">
        <v>267569075</v>
      </c>
    </row>
    <row r="21" spans="1:8" x14ac:dyDescent="0.25">
      <c r="A21" t="s">
        <v>235</v>
      </c>
      <c r="B21" s="23" t="s">
        <v>65</v>
      </c>
      <c r="C21" s="30">
        <v>64639621</v>
      </c>
      <c r="D21" s="30">
        <v>56812166</v>
      </c>
      <c r="E21" s="30">
        <v>54954951</v>
      </c>
    </row>
    <row r="22" spans="1:8" x14ac:dyDescent="0.25">
      <c r="A22" t="s">
        <v>236</v>
      </c>
      <c r="B22" s="23" t="s">
        <v>17</v>
      </c>
      <c r="C22" s="30">
        <v>295149097</v>
      </c>
      <c r="D22" s="30">
        <v>357635467</v>
      </c>
      <c r="E22" s="30">
        <v>402007773</v>
      </c>
    </row>
    <row r="23" spans="1:8" x14ac:dyDescent="0.25">
      <c r="A23" s="7" t="s">
        <v>237</v>
      </c>
      <c r="B23" s="23" t="s">
        <v>19</v>
      </c>
      <c r="C23" s="30">
        <v>203986710</v>
      </c>
      <c r="D23" s="30">
        <v>205262821</v>
      </c>
      <c r="E23" s="30">
        <v>179486803</v>
      </c>
    </row>
    <row r="24" spans="1:8" x14ac:dyDescent="0.25">
      <c r="A24" s="7" t="s">
        <v>238</v>
      </c>
      <c r="B24" s="23" t="s">
        <v>66</v>
      </c>
      <c r="C24" s="30">
        <v>41580462</v>
      </c>
      <c r="D24" s="30">
        <v>28621528</v>
      </c>
      <c r="E24" s="30">
        <v>30343347</v>
      </c>
    </row>
    <row r="25" spans="1:8" x14ac:dyDescent="0.25">
      <c r="A25" s="8" t="s">
        <v>239</v>
      </c>
      <c r="B25" s="20" t="s">
        <v>224</v>
      </c>
      <c r="C25" s="30">
        <v>30838928</v>
      </c>
      <c r="D25" s="30">
        <v>27815539</v>
      </c>
      <c r="E25" s="30">
        <v>8223931</v>
      </c>
    </row>
    <row r="26" spans="1:8" x14ac:dyDescent="0.25">
      <c r="A26" s="7" t="s">
        <v>240</v>
      </c>
      <c r="B26" s="18" t="s">
        <v>20</v>
      </c>
      <c r="C26" s="28">
        <v>1604114487</v>
      </c>
      <c r="D26" s="28">
        <v>1564298883</v>
      </c>
      <c r="E26" s="28">
        <v>1780373134</v>
      </c>
      <c r="F26" s="249">
        <f>SUM(C28:C33)-C26</f>
        <v>0</v>
      </c>
      <c r="G26" s="249">
        <f>SUM(D28:D33)-D26</f>
        <v>0</v>
      </c>
      <c r="H26" s="249">
        <f>SUM(E28:E33)-E26</f>
        <v>0</v>
      </c>
    </row>
    <row r="27" spans="1:8" x14ac:dyDescent="0.25">
      <c r="A27" s="7"/>
      <c r="B27" s="23" t="s">
        <v>21</v>
      </c>
      <c r="C27" s="29">
        <v>1604114487</v>
      </c>
      <c r="D27" s="29">
        <v>1564298883</v>
      </c>
      <c r="E27" s="29">
        <v>1780373134</v>
      </c>
      <c r="F27" s="249">
        <f>C26-C27</f>
        <v>0</v>
      </c>
      <c r="G27" s="249">
        <f>D26-D27</f>
        <v>0</v>
      </c>
      <c r="H27" s="249">
        <f>E26-E27</f>
        <v>0</v>
      </c>
    </row>
    <row r="28" spans="1:8" x14ac:dyDescent="0.25">
      <c r="A28" s="7" t="s">
        <v>241</v>
      </c>
      <c r="B28" s="23" t="s">
        <v>22</v>
      </c>
      <c r="C28" s="30">
        <v>1021653284</v>
      </c>
      <c r="D28" s="30">
        <v>1030411587</v>
      </c>
      <c r="E28" s="30">
        <v>1255431939</v>
      </c>
    </row>
    <row r="29" spans="1:8" x14ac:dyDescent="0.25">
      <c r="A29" s="7" t="s">
        <v>243</v>
      </c>
      <c r="B29" s="23" t="s">
        <v>67</v>
      </c>
      <c r="C29" s="30">
        <v>77457394</v>
      </c>
      <c r="D29" s="30">
        <v>66458951</v>
      </c>
      <c r="E29" s="30">
        <v>62281023</v>
      </c>
    </row>
    <row r="30" spans="1:8" x14ac:dyDescent="0.25">
      <c r="A30" s="7" t="s">
        <v>244</v>
      </c>
      <c r="B30" s="23" t="s">
        <v>23</v>
      </c>
      <c r="C30" s="30">
        <v>294315327</v>
      </c>
      <c r="D30" s="30">
        <v>262274283</v>
      </c>
      <c r="E30" s="30">
        <v>223351634</v>
      </c>
    </row>
    <row r="31" spans="1:8" x14ac:dyDescent="0.25">
      <c r="A31" s="8" t="s">
        <v>242</v>
      </c>
      <c r="B31" s="20" t="s">
        <v>24</v>
      </c>
      <c r="C31" s="30">
        <v>208825164</v>
      </c>
      <c r="D31" s="30">
        <v>202558971</v>
      </c>
      <c r="E31" s="30">
        <v>236090413</v>
      </c>
    </row>
    <row r="32" spans="1:8" x14ac:dyDescent="0.25">
      <c r="A32" s="8" t="s">
        <v>245</v>
      </c>
      <c r="B32" s="20" t="s">
        <v>225</v>
      </c>
      <c r="C32" s="30">
        <v>7297</v>
      </c>
      <c r="D32" s="30">
        <v>580733</v>
      </c>
      <c r="E32" s="30">
        <v>583251</v>
      </c>
    </row>
    <row r="33" spans="1:8" x14ac:dyDescent="0.25">
      <c r="A33" s="8" t="s">
        <v>246</v>
      </c>
      <c r="B33" s="20" t="s">
        <v>226</v>
      </c>
      <c r="C33" s="30">
        <v>1856021</v>
      </c>
      <c r="D33" s="30">
        <v>2014358</v>
      </c>
      <c r="E33" s="30">
        <v>2634874</v>
      </c>
    </row>
    <row r="34" spans="1:8" x14ac:dyDescent="0.25">
      <c r="A34" s="7" t="s">
        <v>247</v>
      </c>
      <c r="B34" s="18" t="s">
        <v>25</v>
      </c>
      <c r="C34" s="28">
        <v>1900603247</v>
      </c>
      <c r="D34" s="28">
        <v>1818204512</v>
      </c>
      <c r="E34" s="28">
        <v>1783100171</v>
      </c>
      <c r="F34" s="249">
        <f>SUM(C35:C43)-C34</f>
        <v>0</v>
      </c>
      <c r="G34" s="249">
        <f>SUM(D35:D43)-D34</f>
        <v>0</v>
      </c>
      <c r="H34" s="249">
        <f>SUM(E35:E43)-E34</f>
        <v>0</v>
      </c>
    </row>
    <row r="35" spans="1:8" x14ac:dyDescent="0.25">
      <c r="A35" s="7" t="s">
        <v>248</v>
      </c>
      <c r="B35" s="23" t="s">
        <v>26</v>
      </c>
      <c r="C35" s="30">
        <v>1216284118</v>
      </c>
      <c r="D35" s="30">
        <v>1180798718</v>
      </c>
      <c r="E35" s="30">
        <v>1141102304</v>
      </c>
    </row>
    <row r="36" spans="1:8" x14ac:dyDescent="0.25">
      <c r="A36" s="7" t="s">
        <v>249</v>
      </c>
      <c r="B36" s="23" t="s">
        <v>27</v>
      </c>
      <c r="C36" s="30">
        <v>117440577</v>
      </c>
      <c r="D36" s="30">
        <v>106494351</v>
      </c>
      <c r="E36" s="30">
        <v>129953305</v>
      </c>
    </row>
    <row r="37" spans="1:8" x14ac:dyDescent="0.25">
      <c r="A37" s="7" t="s">
        <v>250</v>
      </c>
      <c r="B37" s="23" t="s">
        <v>28</v>
      </c>
      <c r="C37" s="30">
        <v>1608316</v>
      </c>
      <c r="D37" s="30">
        <v>979752</v>
      </c>
      <c r="E37" s="30">
        <v>1688702</v>
      </c>
    </row>
    <row r="38" spans="1:8" x14ac:dyDescent="0.25">
      <c r="A38" s="7" t="s">
        <v>251</v>
      </c>
      <c r="B38" s="23" t="s">
        <v>29</v>
      </c>
      <c r="C38" s="30">
        <v>597537696</v>
      </c>
      <c r="D38" s="30">
        <v>545982407</v>
      </c>
      <c r="E38" s="30">
        <v>507311081</v>
      </c>
    </row>
    <row r="39" spans="1:8" x14ac:dyDescent="0.25">
      <c r="A39" s="7" t="s">
        <v>253</v>
      </c>
      <c r="B39" s="23" t="s">
        <v>30</v>
      </c>
      <c r="C39" s="30">
        <v>22367383</v>
      </c>
      <c r="D39" s="30">
        <v>24417776</v>
      </c>
      <c r="E39" s="30">
        <v>33776354</v>
      </c>
    </row>
    <row r="40" spans="1:8" x14ac:dyDescent="0.25">
      <c r="A40" s="7" t="s">
        <v>252</v>
      </c>
      <c r="B40" s="23" t="s">
        <v>31</v>
      </c>
      <c r="C40" s="30">
        <v>-170056512</v>
      </c>
      <c r="D40" s="30">
        <v>-129151436</v>
      </c>
      <c r="E40" s="30">
        <v>-143681171</v>
      </c>
    </row>
    <row r="41" spans="1:8" x14ac:dyDescent="0.25">
      <c r="A41" s="7" t="s">
        <v>256</v>
      </c>
      <c r="B41" s="23" t="s">
        <v>68</v>
      </c>
      <c r="C41" s="30">
        <v>76792743</v>
      </c>
      <c r="D41" s="30">
        <v>72140531</v>
      </c>
      <c r="E41" s="30">
        <v>81715489</v>
      </c>
    </row>
    <row r="42" spans="1:8" x14ac:dyDescent="0.25">
      <c r="A42" s="8" t="s">
        <v>254</v>
      </c>
      <c r="B42" s="20" t="s">
        <v>223</v>
      </c>
      <c r="C42" s="30">
        <v>50596741</v>
      </c>
      <c r="D42" s="30">
        <v>42490399</v>
      </c>
      <c r="E42" s="30">
        <v>64306820</v>
      </c>
    </row>
    <row r="43" spans="1:8" x14ac:dyDescent="0.25">
      <c r="A43" s="7" t="s">
        <v>255</v>
      </c>
      <c r="B43" s="23" t="s">
        <v>85</v>
      </c>
      <c r="C43" s="30">
        <v>-11967815</v>
      </c>
      <c r="D43" s="30">
        <v>-25947986</v>
      </c>
      <c r="E43" s="30">
        <v>-33072713</v>
      </c>
    </row>
    <row r="44" spans="1:8" x14ac:dyDescent="0.25">
      <c r="A44" s="8"/>
      <c r="B44" s="4"/>
      <c r="C44" s="6">
        <v>0</v>
      </c>
      <c r="D44" s="6">
        <v>0</v>
      </c>
      <c r="E44" s="6">
        <v>0</v>
      </c>
    </row>
    <row r="45" spans="1:8" x14ac:dyDescent="0.25">
      <c r="A45" s="8"/>
      <c r="B45" s="14" t="s">
        <v>32</v>
      </c>
      <c r="C45" s="15">
        <v>2017</v>
      </c>
      <c r="D45" s="15">
        <v>2016</v>
      </c>
      <c r="E45" s="15">
        <v>2015</v>
      </c>
    </row>
    <row r="46" spans="1:8" x14ac:dyDescent="0.25">
      <c r="A46" s="8" t="s">
        <v>267</v>
      </c>
      <c r="B46" s="18" t="s">
        <v>69</v>
      </c>
      <c r="C46" s="24">
        <v>2561713743</v>
      </c>
      <c r="D46" s="24">
        <v>2468059027</v>
      </c>
      <c r="E46" s="24">
        <v>2363171365</v>
      </c>
    </row>
    <row r="47" spans="1:8" x14ac:dyDescent="0.25">
      <c r="A47" s="8" t="s">
        <v>268</v>
      </c>
      <c r="B47" s="31" t="s">
        <v>70</v>
      </c>
      <c r="C47" s="32">
        <v>-1744323131</v>
      </c>
      <c r="D47" s="32">
        <v>-1695387460</v>
      </c>
      <c r="E47" s="32">
        <v>-1659602807</v>
      </c>
    </row>
    <row r="48" spans="1:8" x14ac:dyDescent="0.25">
      <c r="A48" s="8" t="s">
        <v>269</v>
      </c>
      <c r="B48" s="18" t="s">
        <v>33</v>
      </c>
      <c r="C48" s="24">
        <v>817390612</v>
      </c>
      <c r="D48" s="24">
        <v>772671567</v>
      </c>
      <c r="E48" s="24">
        <v>703568558</v>
      </c>
      <c r="F48" s="41">
        <f>C46+C47-C48</f>
        <v>0</v>
      </c>
      <c r="G48" s="41">
        <f>D46+D47-D48</f>
        <v>0</v>
      </c>
      <c r="H48" s="41">
        <f>E46+E47-E48</f>
        <v>0</v>
      </c>
    </row>
    <row r="49" spans="1:8" x14ac:dyDescent="0.25">
      <c r="A49" s="8" t="s">
        <v>270</v>
      </c>
      <c r="B49" s="31" t="s">
        <v>34</v>
      </c>
      <c r="C49" s="32">
        <v>-522859305</v>
      </c>
      <c r="D49" s="32">
        <v>-554583595</v>
      </c>
      <c r="E49" s="32">
        <v>-596627732</v>
      </c>
      <c r="F49" s="41">
        <f>SUM(C50:C55)-C49</f>
        <v>0</v>
      </c>
      <c r="G49" s="41">
        <f>SUM(D50:D55)-D49</f>
        <v>0</v>
      </c>
      <c r="H49" s="41">
        <f>SUM(E50:E55)-E49</f>
        <v>0</v>
      </c>
    </row>
    <row r="50" spans="1:8" x14ac:dyDescent="0.25">
      <c r="A50" s="8" t="s">
        <v>271</v>
      </c>
      <c r="B50" s="31" t="s">
        <v>35</v>
      </c>
      <c r="C50" s="32">
        <v>-314731805</v>
      </c>
      <c r="D50" s="32">
        <v>-303180880</v>
      </c>
      <c r="E50" s="32">
        <v>-283507999</v>
      </c>
    </row>
    <row r="51" spans="1:8" x14ac:dyDescent="0.25">
      <c r="A51" s="8" t="s">
        <v>272</v>
      </c>
      <c r="B51" s="31" t="s">
        <v>36</v>
      </c>
      <c r="C51" s="32">
        <v>-178703595</v>
      </c>
      <c r="D51" s="32">
        <v>-181130810</v>
      </c>
      <c r="E51" s="32">
        <v>-167720820</v>
      </c>
    </row>
    <row r="52" spans="1:8" x14ac:dyDescent="0.25">
      <c r="A52" s="8" t="s">
        <v>273</v>
      </c>
      <c r="B52" s="257" t="s">
        <v>222</v>
      </c>
      <c r="C52" s="32">
        <v>-4972206</v>
      </c>
      <c r="D52" s="32">
        <v>-7758096</v>
      </c>
      <c r="E52" s="32">
        <v>-40790531</v>
      </c>
    </row>
    <row r="53" spans="1:8" x14ac:dyDescent="0.25">
      <c r="A53" s="8" t="s">
        <v>274</v>
      </c>
      <c r="B53" s="31" t="s">
        <v>71</v>
      </c>
      <c r="C53" s="32">
        <v>51329706</v>
      </c>
      <c r="D53" s="32">
        <v>27616515</v>
      </c>
      <c r="E53" s="32">
        <v>27968715</v>
      </c>
    </row>
    <row r="54" spans="1:8" x14ac:dyDescent="0.25">
      <c r="A54" s="8" t="s">
        <v>275</v>
      </c>
      <c r="B54" s="31" t="s">
        <v>72</v>
      </c>
      <c r="C54" s="32">
        <v>-87004431</v>
      </c>
      <c r="D54" s="32">
        <v>-103874423</v>
      </c>
      <c r="E54" s="32">
        <v>-134262768</v>
      </c>
    </row>
    <row r="55" spans="1:8" x14ac:dyDescent="0.25">
      <c r="A55" t="s">
        <v>276</v>
      </c>
      <c r="B55" s="31" t="s">
        <v>86</v>
      </c>
      <c r="C55" s="32">
        <v>11223026</v>
      </c>
      <c r="D55" s="32">
        <v>13744099</v>
      </c>
      <c r="E55" s="32">
        <v>1685671</v>
      </c>
    </row>
    <row r="56" spans="1:8" x14ac:dyDescent="0.25">
      <c r="A56" s="8" t="s">
        <v>277</v>
      </c>
      <c r="B56" s="18" t="s">
        <v>38</v>
      </c>
      <c r="C56" s="24">
        <v>294531307</v>
      </c>
      <c r="D56" s="24">
        <v>218087972</v>
      </c>
      <c r="E56" s="24">
        <v>106940826</v>
      </c>
      <c r="F56" s="41">
        <f>C48+C49-C56</f>
        <v>0</v>
      </c>
      <c r="G56" s="41">
        <f>D48+D49-D56</f>
        <v>0</v>
      </c>
      <c r="H56" s="41">
        <f>E48+E49-E56</f>
        <v>0</v>
      </c>
    </row>
    <row r="57" spans="1:8" x14ac:dyDescent="0.25">
      <c r="A57" s="8" t="s">
        <v>278</v>
      </c>
      <c r="B57" s="31" t="s">
        <v>37</v>
      </c>
      <c r="C57" s="32">
        <v>135900689</v>
      </c>
      <c r="D57" s="32">
        <v>202111890</v>
      </c>
      <c r="E57" s="32">
        <v>218209300</v>
      </c>
    </row>
    <row r="58" spans="1:8" x14ac:dyDescent="0.25">
      <c r="A58" s="8" t="s">
        <v>279</v>
      </c>
      <c r="B58" s="31" t="s">
        <v>39</v>
      </c>
      <c r="C58" s="32">
        <v>-234795116</v>
      </c>
      <c r="D58" s="32">
        <v>-253420589</v>
      </c>
      <c r="E58" s="32">
        <v>-344386276</v>
      </c>
    </row>
    <row r="59" spans="1:8" x14ac:dyDescent="0.25">
      <c r="A59" s="8" t="s">
        <v>280</v>
      </c>
      <c r="B59" s="18" t="s">
        <v>40</v>
      </c>
      <c r="C59" s="24">
        <v>195636880</v>
      </c>
      <c r="D59" s="24">
        <v>166779273</v>
      </c>
      <c r="E59" s="24">
        <v>-19236150</v>
      </c>
      <c r="F59" s="41">
        <f>SUM(C56:C58)-C59</f>
        <v>0</v>
      </c>
      <c r="G59" s="41">
        <f>SUM(D56:D58)-D59</f>
        <v>0</v>
      </c>
      <c r="H59" s="41">
        <f>SUM(E56:E58)-E59</f>
        <v>0</v>
      </c>
    </row>
    <row r="60" spans="1:8" x14ac:dyDescent="0.25">
      <c r="A60" s="8" t="s">
        <v>281</v>
      </c>
      <c r="B60" s="31" t="s">
        <v>41</v>
      </c>
      <c r="C60" s="32">
        <v>-56682434</v>
      </c>
      <c r="D60" s="32">
        <v>-59728073</v>
      </c>
      <c r="E60" s="32">
        <v>-6464854</v>
      </c>
    </row>
    <row r="61" spans="1:8" x14ac:dyDescent="0.25">
      <c r="A61" s="8" t="s">
        <v>282</v>
      </c>
      <c r="B61" s="34" t="s">
        <v>228</v>
      </c>
      <c r="C61" s="24">
        <v>138954446</v>
      </c>
      <c r="D61" s="24">
        <v>107051200</v>
      </c>
      <c r="E61" s="24">
        <v>-25701004</v>
      </c>
      <c r="F61" s="41">
        <f>C60+C59-C61</f>
        <v>0</v>
      </c>
      <c r="G61" s="41">
        <f>D60+D59-D61</f>
        <v>0</v>
      </c>
      <c r="H61" s="41">
        <f>E60+E59-E61</f>
        <v>0</v>
      </c>
    </row>
    <row r="62" spans="1:8" x14ac:dyDescent="0.25">
      <c r="A62" s="8" t="s">
        <v>283</v>
      </c>
      <c r="B62" s="257" t="s">
        <v>227</v>
      </c>
      <c r="C62" s="32">
        <v>-2242137</v>
      </c>
      <c r="D62" s="32">
        <v>-5292281</v>
      </c>
      <c r="E62" s="32">
        <v>1658518</v>
      </c>
    </row>
    <row r="63" spans="1:8" x14ac:dyDescent="0.25">
      <c r="A63" s="7" t="s">
        <v>284</v>
      </c>
      <c r="B63" s="18" t="s">
        <v>42</v>
      </c>
      <c r="C63" s="24">
        <v>136712309</v>
      </c>
      <c r="D63" s="24">
        <v>101758919</v>
      </c>
      <c r="E63" s="24">
        <v>-24042486</v>
      </c>
      <c r="F63" s="41">
        <f>C62+C61-C63</f>
        <v>0</v>
      </c>
      <c r="G63" s="41">
        <f>D62+D61-D63</f>
        <v>0</v>
      </c>
      <c r="H63" s="41">
        <f>E62+E61-E63</f>
        <v>0</v>
      </c>
    </row>
    <row r="64" spans="1:8" x14ac:dyDescent="0.25">
      <c r="A64" s="7"/>
      <c r="B64" s="10"/>
      <c r="C64" s="6">
        <v>0</v>
      </c>
      <c r="D64" s="6">
        <v>0</v>
      </c>
      <c r="E64" s="6">
        <v>0</v>
      </c>
    </row>
    <row r="65" spans="1:8" x14ac:dyDescent="0.25">
      <c r="A65" s="7"/>
      <c r="B65" s="14" t="s">
        <v>43</v>
      </c>
      <c r="C65" s="15">
        <v>2017</v>
      </c>
      <c r="D65" s="15">
        <v>2016</v>
      </c>
      <c r="E65" s="15">
        <v>2015</v>
      </c>
    </row>
    <row r="66" spans="1:8" x14ac:dyDescent="0.25">
      <c r="A66" s="7" t="s">
        <v>285</v>
      </c>
      <c r="B66" s="18" t="s">
        <v>44</v>
      </c>
      <c r="C66" s="33">
        <v>318215001</v>
      </c>
      <c r="D66" s="33">
        <v>343984636</v>
      </c>
      <c r="E66" s="33">
        <v>424087859</v>
      </c>
    </row>
    <row r="67" spans="1:8" x14ac:dyDescent="0.25">
      <c r="A67" s="7" t="s">
        <v>286</v>
      </c>
      <c r="B67" s="18" t="s">
        <v>45</v>
      </c>
      <c r="C67" s="33">
        <v>-159539761</v>
      </c>
      <c r="D67" s="33">
        <v>-182996283</v>
      </c>
      <c r="E67" s="33">
        <v>-232659764</v>
      </c>
    </row>
    <row r="68" spans="1:8" x14ac:dyDescent="0.25">
      <c r="A68" s="7" t="s">
        <v>287</v>
      </c>
      <c r="B68" s="18" t="s">
        <v>46</v>
      </c>
      <c r="C68" s="33">
        <v>-212165240</v>
      </c>
      <c r="D68" s="33">
        <v>-257913769</v>
      </c>
      <c r="E68" s="33">
        <v>-98210184</v>
      </c>
    </row>
    <row r="69" spans="1:8" x14ac:dyDescent="0.25">
      <c r="A69" s="251">
        <f>DFC!A46</f>
        <v>0</v>
      </c>
      <c r="B69" s="34" t="s">
        <v>229</v>
      </c>
      <c r="C69" s="33">
        <v>-77239531</v>
      </c>
      <c r="D69" s="33">
        <v>-74628238</v>
      </c>
      <c r="E69" s="33">
        <v>-53999150</v>
      </c>
      <c r="F69" s="251"/>
      <c r="G69" s="251"/>
      <c r="H69" s="251"/>
    </row>
    <row r="70" spans="1:8" x14ac:dyDescent="0.25">
      <c r="A70" s="7" t="s">
        <v>288</v>
      </c>
      <c r="B70" s="18" t="s">
        <v>47</v>
      </c>
      <c r="C70" s="33">
        <v>2549321</v>
      </c>
      <c r="D70" s="33">
        <v>-19363320</v>
      </c>
      <c r="E70" s="33">
        <v>46266838</v>
      </c>
    </row>
    <row r="71" spans="1:8" x14ac:dyDescent="0.25">
      <c r="A71" s="12" t="s">
        <v>289</v>
      </c>
      <c r="B71" s="18" t="s">
        <v>48</v>
      </c>
      <c r="C71" s="33">
        <v>-50940679</v>
      </c>
      <c r="D71" s="33">
        <v>-116288736</v>
      </c>
      <c r="E71" s="33">
        <v>139484749</v>
      </c>
      <c r="F71" s="250">
        <f>SUM(C66:C68)+C70-C71</f>
        <v>0</v>
      </c>
      <c r="G71" s="250">
        <f>SUM(D66:D68)+D70-D71</f>
        <v>0</v>
      </c>
      <c r="H71" s="250">
        <f>SUM(E66:E68)+E70-E71</f>
        <v>0</v>
      </c>
    </row>
    <row r="72" spans="1:8" x14ac:dyDescent="0.25">
      <c r="A72" s="12" t="s">
        <v>290</v>
      </c>
      <c r="B72" s="34" t="s">
        <v>49</v>
      </c>
      <c r="C72" s="33">
        <v>507393352</v>
      </c>
      <c r="D72" s="33">
        <v>633669942</v>
      </c>
      <c r="E72" s="33">
        <v>493929689</v>
      </c>
    </row>
    <row r="73" spans="1:8" x14ac:dyDescent="0.25">
      <c r="A73" s="12" t="s">
        <v>291</v>
      </c>
      <c r="B73" s="34" t="s">
        <v>50</v>
      </c>
      <c r="C73" s="33">
        <v>456452673</v>
      </c>
      <c r="D73" s="33">
        <v>517381206</v>
      </c>
      <c r="E73" s="33">
        <v>633414438</v>
      </c>
      <c r="F73" s="250">
        <f>C72+C71-C73</f>
        <v>0</v>
      </c>
      <c r="G73" s="250">
        <f>D72+D71-D73</f>
        <v>0</v>
      </c>
      <c r="H73" s="250">
        <f>E72+E71-E73</f>
        <v>0</v>
      </c>
    </row>
    <row r="74" spans="1:8" x14ac:dyDescent="0.25">
      <c r="A74" s="7"/>
      <c r="B74" s="13"/>
      <c r="C74" s="6">
        <v>0</v>
      </c>
      <c r="D74" s="6">
        <v>0</v>
      </c>
      <c r="E74" s="6">
        <v>0</v>
      </c>
    </row>
    <row r="75" spans="1:8" x14ac:dyDescent="0.25">
      <c r="A75" s="7"/>
      <c r="B75" s="14" t="s">
        <v>51</v>
      </c>
      <c r="C75" s="15">
        <v>2017</v>
      </c>
      <c r="D75" s="15">
        <v>2016</v>
      </c>
      <c r="E75" s="15">
        <v>2015</v>
      </c>
    </row>
    <row r="76" spans="1:8" x14ac:dyDescent="0.25">
      <c r="A76" s="7" t="s">
        <v>292</v>
      </c>
      <c r="B76" s="18" t="s">
        <v>52</v>
      </c>
      <c r="C76" s="24">
        <v>3231319658</v>
      </c>
      <c r="D76" s="24">
        <v>3110258914</v>
      </c>
      <c r="E76" s="24">
        <v>2972671953</v>
      </c>
    </row>
    <row r="77" spans="1:8" x14ac:dyDescent="0.25">
      <c r="A77" s="7" t="s">
        <v>293</v>
      </c>
      <c r="B77" s="16" t="s">
        <v>53</v>
      </c>
      <c r="C77" s="35">
        <v>-1835795511</v>
      </c>
      <c r="D77" s="35">
        <v>-1835524432</v>
      </c>
      <c r="E77" s="35">
        <v>-1865473262</v>
      </c>
    </row>
    <row r="78" spans="1:8" x14ac:dyDescent="0.25">
      <c r="A78" s="7" t="s">
        <v>294</v>
      </c>
      <c r="B78" s="18" t="s">
        <v>54</v>
      </c>
      <c r="C78" s="24">
        <v>1395524147</v>
      </c>
      <c r="D78" s="24">
        <v>1274734482</v>
      </c>
      <c r="E78" s="24">
        <v>1107198691</v>
      </c>
      <c r="F78" s="41">
        <f>C77+C76-C78</f>
        <v>0</v>
      </c>
      <c r="G78" s="41">
        <f>D77+D76-D78</f>
        <v>0</v>
      </c>
      <c r="H78" s="41">
        <f>E77+E76-E78</f>
        <v>0</v>
      </c>
    </row>
    <row r="79" spans="1:8" x14ac:dyDescent="0.25">
      <c r="A79" s="7" t="s">
        <v>295</v>
      </c>
      <c r="B79" s="16" t="s">
        <v>55</v>
      </c>
      <c r="C79" s="35">
        <v>-164906804</v>
      </c>
      <c r="D79" s="35">
        <v>-166336256</v>
      </c>
      <c r="E79" s="35">
        <v>-147276197</v>
      </c>
    </row>
    <row r="80" spans="1:8" x14ac:dyDescent="0.25">
      <c r="A80" s="7" t="s">
        <v>296</v>
      </c>
      <c r="B80" s="16" t="s">
        <v>73</v>
      </c>
      <c r="C80" s="35">
        <v>-159292865</v>
      </c>
      <c r="D80" s="35">
        <v>-163860708</v>
      </c>
      <c r="E80" s="35">
        <v>-146602726</v>
      </c>
    </row>
    <row r="81" spans="1:8" x14ac:dyDescent="0.25">
      <c r="A81" s="12" t="s">
        <v>297</v>
      </c>
      <c r="B81" s="18" t="s">
        <v>56</v>
      </c>
      <c r="C81" s="24">
        <v>1230617343</v>
      </c>
      <c r="D81" s="24">
        <v>1108398226</v>
      </c>
      <c r="E81" s="24">
        <v>959922494</v>
      </c>
      <c r="F81" s="41">
        <f>C79+C78-C81</f>
        <v>0</v>
      </c>
      <c r="G81" s="41">
        <f>D79+D78-D81</f>
        <v>0</v>
      </c>
      <c r="H81" s="41">
        <f>E79+E78-E81</f>
        <v>0</v>
      </c>
    </row>
    <row r="82" spans="1:8" x14ac:dyDescent="0.25">
      <c r="A82" s="7" t="s">
        <v>298</v>
      </c>
      <c r="B82" s="34" t="s">
        <v>57</v>
      </c>
      <c r="C82" s="36">
        <v>144157278</v>
      </c>
      <c r="D82" s="36">
        <v>180687177</v>
      </c>
      <c r="E82" s="36">
        <v>227802051</v>
      </c>
    </row>
    <row r="83" spans="1:8" x14ac:dyDescent="0.25">
      <c r="A83" s="7" t="s">
        <v>299</v>
      </c>
      <c r="B83" s="34" t="s">
        <v>74</v>
      </c>
      <c r="C83" s="36">
        <v>1374774621</v>
      </c>
      <c r="D83" s="36">
        <v>1289085403</v>
      </c>
      <c r="E83" s="36">
        <v>1187724545</v>
      </c>
      <c r="F83" s="41">
        <f>C81+C82-C83</f>
        <v>0</v>
      </c>
      <c r="G83" s="41">
        <f>D81+D82-D83</f>
        <v>0</v>
      </c>
      <c r="H83" s="41">
        <f>E81+E82-E83</f>
        <v>0</v>
      </c>
    </row>
    <row r="84" spans="1:8" ht="4.5" customHeight="1" x14ac:dyDescent="0.25">
      <c r="B84" s="37"/>
      <c r="C84" s="38">
        <v>0</v>
      </c>
      <c r="D84" s="38">
        <v>0</v>
      </c>
      <c r="E84" s="38">
        <v>0</v>
      </c>
    </row>
    <row r="85" spans="1:8" x14ac:dyDescent="0.25">
      <c r="A85" s="7" t="s">
        <v>300</v>
      </c>
      <c r="B85" s="34" t="s">
        <v>58</v>
      </c>
      <c r="C85" s="24">
        <v>1374774621</v>
      </c>
      <c r="D85" s="24">
        <v>1289085403</v>
      </c>
      <c r="E85" s="24">
        <v>1187724545</v>
      </c>
      <c r="F85" s="41">
        <f>SUM(C86:C90)-C85</f>
        <v>0</v>
      </c>
      <c r="G85" s="41">
        <f>SUM(D86:D90)-D85</f>
        <v>0</v>
      </c>
      <c r="H85" s="41">
        <f>SUM(E86:E90)-E85</f>
        <v>0</v>
      </c>
    </row>
    <row r="86" spans="1:8" x14ac:dyDescent="0.25">
      <c r="A86" s="7" t="s">
        <v>301</v>
      </c>
      <c r="B86" s="23" t="s">
        <v>59</v>
      </c>
      <c r="C86" s="26">
        <v>350210272</v>
      </c>
      <c r="D86" s="26">
        <v>343238020</v>
      </c>
      <c r="E86" s="26">
        <v>319822204</v>
      </c>
    </row>
    <row r="87" spans="1:8" x14ac:dyDescent="0.25">
      <c r="A87" s="7" t="s">
        <v>302</v>
      </c>
      <c r="B87" s="23" t="s">
        <v>60</v>
      </c>
      <c r="C87" s="26">
        <v>573644952</v>
      </c>
      <c r="D87" s="26">
        <v>550006595</v>
      </c>
      <c r="E87" s="26">
        <v>466689305</v>
      </c>
    </row>
    <row r="88" spans="1:8" x14ac:dyDescent="0.25">
      <c r="A88" s="7" t="s">
        <v>303</v>
      </c>
      <c r="B88" s="23" t="s">
        <v>75</v>
      </c>
      <c r="C88" s="26">
        <v>313694670</v>
      </c>
      <c r="D88" s="26">
        <v>294568768</v>
      </c>
      <c r="E88" s="26">
        <v>423548867</v>
      </c>
    </row>
    <row r="89" spans="1:8" x14ac:dyDescent="0.25">
      <c r="A89" s="7" t="s">
        <v>304</v>
      </c>
      <c r="B89" s="23" t="s">
        <v>61</v>
      </c>
      <c r="C89" s="26">
        <v>133908085</v>
      </c>
      <c r="D89" s="26">
        <v>105401286</v>
      </c>
      <c r="E89" s="26">
        <v>-18297052</v>
      </c>
    </row>
    <row r="90" spans="1:8" x14ac:dyDescent="0.25">
      <c r="A90" t="s">
        <v>305</v>
      </c>
      <c r="B90" s="23" t="s">
        <v>62</v>
      </c>
      <c r="C90" s="26">
        <v>3316642</v>
      </c>
      <c r="D90" s="26">
        <v>-4129266</v>
      </c>
      <c r="E90" s="26">
        <v>-4038779</v>
      </c>
    </row>
    <row r="91" spans="1:8" x14ac:dyDescent="0.25">
      <c r="C91" s="41">
        <v>0</v>
      </c>
      <c r="D91" s="41"/>
      <c r="E91" s="41">
        <v>0</v>
      </c>
    </row>
    <row r="92" spans="1:8" x14ac:dyDescent="0.25">
      <c r="C92" s="6">
        <v>0</v>
      </c>
      <c r="D92" s="6">
        <v>0</v>
      </c>
      <c r="E92" s="6">
        <v>0</v>
      </c>
    </row>
    <row r="93" spans="1:8" x14ac:dyDescent="0.25">
      <c r="B93" s="14" t="s">
        <v>76</v>
      </c>
      <c r="C93" s="15">
        <v>2017</v>
      </c>
      <c r="D93" s="15">
        <v>2016</v>
      </c>
      <c r="E93" s="15">
        <v>2015</v>
      </c>
    </row>
    <row r="94" spans="1:8" x14ac:dyDescent="0.25">
      <c r="B94" s="18" t="s">
        <v>69</v>
      </c>
      <c r="C94" s="24">
        <v>2561713743</v>
      </c>
      <c r="D94" s="24">
        <v>2468059027</v>
      </c>
      <c r="E94" s="24">
        <v>2363171365</v>
      </c>
      <c r="F94" s="41">
        <f>D94-D46</f>
        <v>0</v>
      </c>
    </row>
    <row r="95" spans="1:8" x14ac:dyDescent="0.25">
      <c r="B95" s="31" t="s">
        <v>70</v>
      </c>
      <c r="C95" s="32">
        <v>-1744323131</v>
      </c>
      <c r="D95" s="32">
        <v>-1695387460</v>
      </c>
      <c r="E95" s="32">
        <v>-1659602807</v>
      </c>
    </row>
    <row r="96" spans="1:8" x14ac:dyDescent="0.25">
      <c r="B96" s="18" t="s">
        <v>33</v>
      </c>
      <c r="C96" s="24">
        <v>817390612</v>
      </c>
      <c r="D96" s="24">
        <v>772671567</v>
      </c>
      <c r="E96" s="24">
        <v>703568558</v>
      </c>
      <c r="F96" s="41">
        <f>C94+C95-C96</f>
        <v>0</v>
      </c>
      <c r="G96" s="41">
        <f>D94+D95-D96</f>
        <v>0</v>
      </c>
      <c r="H96" s="41">
        <f>E94+E95-E96</f>
        <v>0</v>
      </c>
    </row>
    <row r="97" spans="2:8" x14ac:dyDescent="0.25">
      <c r="B97" s="31" t="s">
        <v>34</v>
      </c>
      <c r="C97" s="32">
        <v>-522859305</v>
      </c>
      <c r="D97" s="32">
        <v>-554583595</v>
      </c>
      <c r="E97" s="32">
        <v>-596627732</v>
      </c>
    </row>
    <row r="98" spans="2:8" x14ac:dyDescent="0.25">
      <c r="B98" s="257" t="s">
        <v>227</v>
      </c>
      <c r="C98" s="32">
        <v>-2242137</v>
      </c>
      <c r="D98" s="32">
        <v>-5292281</v>
      </c>
      <c r="E98" s="32">
        <v>1658518</v>
      </c>
    </row>
    <row r="99" spans="2:8" x14ac:dyDescent="0.25">
      <c r="B99" s="31" t="s">
        <v>37</v>
      </c>
      <c r="C99" s="32">
        <v>135889787</v>
      </c>
      <c r="D99" s="32">
        <v>202111890</v>
      </c>
      <c r="E99" s="32">
        <v>218209300</v>
      </c>
    </row>
    <row r="100" spans="2:8" x14ac:dyDescent="0.25">
      <c r="B100" s="31" t="s">
        <v>77</v>
      </c>
      <c r="C100" s="32">
        <v>159292865</v>
      </c>
      <c r="D100" s="32">
        <v>163860708</v>
      </c>
      <c r="E100" s="32">
        <v>146602726</v>
      </c>
    </row>
    <row r="101" spans="2:8" x14ac:dyDescent="0.25">
      <c r="B101" s="39" t="s">
        <v>78</v>
      </c>
      <c r="C101" s="40">
        <v>587471822</v>
      </c>
      <c r="D101" s="40">
        <v>578768289</v>
      </c>
      <c r="E101" s="40">
        <v>473411370</v>
      </c>
      <c r="F101" s="41">
        <f>SUM(C96:C100)-C101</f>
        <v>0</v>
      </c>
      <c r="G101" s="41">
        <f>SUM(D96:D100)-D101</f>
        <v>0</v>
      </c>
      <c r="H101" s="41">
        <f>SUM(E96:E100)-E101</f>
        <v>0</v>
      </c>
    </row>
    <row r="102" spans="2:8" x14ac:dyDescent="0.25">
      <c r="B102" s="31" t="s">
        <v>79</v>
      </c>
      <c r="C102" s="32">
        <v>-159292865</v>
      </c>
      <c r="D102" s="32">
        <v>-163860708</v>
      </c>
      <c r="E102" s="32">
        <v>-146602726</v>
      </c>
    </row>
    <row r="103" spans="2:8" x14ac:dyDescent="0.25">
      <c r="B103" s="39" t="s">
        <v>80</v>
      </c>
      <c r="C103" s="40">
        <v>428178957</v>
      </c>
      <c r="D103" s="40">
        <v>414907581</v>
      </c>
      <c r="E103" s="40">
        <v>326808644</v>
      </c>
      <c r="F103" s="41">
        <f>C102+C101-C103</f>
        <v>0</v>
      </c>
      <c r="G103" s="41">
        <f>D102+D101-D103</f>
        <v>0</v>
      </c>
      <c r="H103" s="41">
        <f>E102+E101-E103</f>
        <v>0</v>
      </c>
    </row>
    <row r="104" spans="2:8" x14ac:dyDescent="0.25">
      <c r="B104" s="31" t="s">
        <v>81</v>
      </c>
      <c r="C104" s="32">
        <v>-142527343.12000003</v>
      </c>
      <c r="D104" s="32">
        <v>-138194959.41999996</v>
      </c>
      <c r="E104" s="32">
        <v>-109977914.70000003</v>
      </c>
    </row>
    <row r="105" spans="2:8" x14ac:dyDescent="0.25">
      <c r="B105" s="39" t="s">
        <v>82</v>
      </c>
      <c r="C105" s="40">
        <v>285651613.87999994</v>
      </c>
      <c r="D105" s="40">
        <v>276712621.57999998</v>
      </c>
      <c r="E105" s="40">
        <v>216830729.29999998</v>
      </c>
      <c r="F105" s="41">
        <f>C104+C103-C105</f>
        <v>0</v>
      </c>
      <c r="G105" s="41">
        <f>D104+D103-D105</f>
        <v>0</v>
      </c>
      <c r="H105" s="41">
        <f>E104+E103-E105</f>
        <v>0</v>
      </c>
    </row>
    <row r="106" spans="2:8" x14ac:dyDescent="0.25">
      <c r="B106" s="31" t="s">
        <v>39</v>
      </c>
      <c r="C106" s="32">
        <v>-234784214</v>
      </c>
      <c r="D106" s="32">
        <v>-253420589</v>
      </c>
      <c r="E106" s="32">
        <v>-344386276</v>
      </c>
    </row>
    <row r="107" spans="2:8" x14ac:dyDescent="0.25">
      <c r="B107" s="31" t="s">
        <v>83</v>
      </c>
      <c r="C107" s="32">
        <v>79826632.759999961</v>
      </c>
      <c r="D107" s="32">
        <v>86163000.260000005</v>
      </c>
      <c r="E107" s="32">
        <v>117091333.84</v>
      </c>
    </row>
    <row r="108" spans="2:8" x14ac:dyDescent="0.25">
      <c r="B108" s="31" t="s">
        <v>84</v>
      </c>
      <c r="C108" s="32">
        <v>6018276.3600000041</v>
      </c>
      <c r="D108" s="32">
        <v>-7696113.8399999915</v>
      </c>
      <c r="E108" s="32">
        <v>-13578273.139999997</v>
      </c>
    </row>
    <row r="109" spans="2:8" x14ac:dyDescent="0.25">
      <c r="B109" s="18" t="s">
        <v>42</v>
      </c>
      <c r="C109" s="24">
        <v>136712309</v>
      </c>
      <c r="D109" s="24">
        <v>101758919</v>
      </c>
      <c r="E109" s="24">
        <v>-24042486.000000007</v>
      </c>
      <c r="F109" s="41">
        <f>SUM(C105:C108)-C109</f>
        <v>0</v>
      </c>
      <c r="G109" s="41">
        <f>SUM(D105:D108)-D109</f>
        <v>0</v>
      </c>
      <c r="H109" s="41">
        <f>SUM(E105:E108)-E109</f>
        <v>0</v>
      </c>
    </row>
    <row r="110" spans="2:8" x14ac:dyDescent="0.25">
      <c r="C110" s="41">
        <v>0</v>
      </c>
      <c r="D110" s="41">
        <v>0</v>
      </c>
      <c r="E110" s="41">
        <v>0</v>
      </c>
    </row>
  </sheetData>
  <sheetProtection formatCells="0" formatColumns="0" formatRows="0" insertColumns="0" insertRows="0" insertHyperlinks="0" deleteColumns="0" deleteRows="0" sort="0" autoFilter="0" pivotTables="0"/>
  <phoneticPr fontId="29" type="noConversion"/>
  <pageMargins left="0.26" right="0.24" top="0.78740157480314965" bottom="0.78740157480314965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96"/>
  <sheetViews>
    <sheetView workbookViewId="0">
      <selection activeCell="E1" sqref="C1:E1"/>
    </sheetView>
  </sheetViews>
  <sheetFormatPr defaultRowHeight="15" x14ac:dyDescent="0.25"/>
  <cols>
    <col min="1" max="1" width="9.28515625" customWidth="1"/>
    <col min="2" max="2" width="72.42578125" bestFit="1" customWidth="1"/>
    <col min="3" max="3" width="13.7109375" customWidth="1"/>
    <col min="4" max="4" width="9.140625" style="318"/>
    <col min="5" max="5" width="16.85546875" bestFit="1" customWidth="1"/>
  </cols>
  <sheetData>
    <row r="1" spans="1:5" x14ac:dyDescent="0.25">
      <c r="A1" s="3" t="s">
        <v>105</v>
      </c>
      <c r="B1" s="4"/>
      <c r="C1" s="4"/>
      <c r="E1" s="4"/>
    </row>
    <row r="2" spans="1:5" x14ac:dyDescent="0.25">
      <c r="A2" s="7"/>
      <c r="B2" s="4"/>
      <c r="C2" s="4"/>
      <c r="E2" s="4"/>
    </row>
    <row r="3" spans="1:5" ht="15.75" thickBot="1" x14ac:dyDescent="0.3">
      <c r="A3" s="7"/>
      <c r="B3" s="4"/>
      <c r="C3" s="4"/>
      <c r="E3" s="4"/>
    </row>
    <row r="4" spans="1:5" ht="19.5" thickBot="1" x14ac:dyDescent="0.3">
      <c r="A4" s="80">
        <v>1</v>
      </c>
      <c r="B4" s="209" t="s">
        <v>106</v>
      </c>
      <c r="C4" s="210" t="s">
        <v>327</v>
      </c>
      <c r="E4" s="211" t="s">
        <v>333</v>
      </c>
    </row>
    <row r="5" spans="1:5" x14ac:dyDescent="0.25">
      <c r="A5" s="7"/>
      <c r="B5" s="212" t="s">
        <v>107</v>
      </c>
      <c r="C5" s="85">
        <f>'Demonstrativos Padrões'!D96/'Demonstrativos Padrões'!D94</f>
        <v>0.31306851195500196</v>
      </c>
      <c r="D5" s="318">
        <v>36</v>
      </c>
      <c r="E5" s="213">
        <f>'Demonstrativos Padrões'!C96/'Demonstrativos Padrões'!C94</f>
        <v>0.31907960607759445</v>
      </c>
    </row>
    <row r="6" spans="1:5" x14ac:dyDescent="0.25">
      <c r="A6" s="7"/>
      <c r="B6" s="116" t="s">
        <v>108</v>
      </c>
      <c r="C6" s="88"/>
      <c r="D6" s="318">
        <f>D5+40</f>
        <v>76</v>
      </c>
      <c r="E6" s="118">
        <f>'Demonstrativos Padrões'!C46/'INDICADORES FINANCEIROS'!E132</f>
        <v>0.79758731377906089</v>
      </c>
    </row>
    <row r="7" spans="1:5" x14ac:dyDescent="0.25">
      <c r="A7" s="7"/>
      <c r="B7" s="116" t="s">
        <v>109</v>
      </c>
      <c r="C7" s="88"/>
      <c r="D7" s="318">
        <f t="shared" ref="D7:D10" si="0">D6+40</f>
        <v>116</v>
      </c>
      <c r="E7" s="118">
        <f>'Demonstrativos Padrões'!C46/(('Demonstrativos Padrões'!C3+'Demonstrativos Padrões'!D3)/2)</f>
        <v>0.57771744875162245</v>
      </c>
    </row>
    <row r="8" spans="1:5" x14ac:dyDescent="0.25">
      <c r="A8" s="7"/>
      <c r="B8" s="116" t="s">
        <v>110</v>
      </c>
      <c r="C8" s="90">
        <f>'NOPAT AMPLO RESTRITO'!B23/'NOPAT AMPLO RESTRITO'!B16</f>
        <v>5.6719591390874784E-2</v>
      </c>
      <c r="D8" s="318">
        <f t="shared" si="0"/>
        <v>156</v>
      </c>
      <c r="E8" s="90">
        <f>'NOPAT AMPLO RESTRITO'!C23/'NOPAT AMPLO RESTRITO'!C16</f>
        <v>7.4272592689135594E-2</v>
      </c>
    </row>
    <row r="9" spans="1:5" x14ac:dyDescent="0.25">
      <c r="A9" s="7"/>
      <c r="B9" s="214" t="s">
        <v>111</v>
      </c>
      <c r="C9" s="92">
        <f>'NOPAT AMPLO RESTRITO'!B12/'NOPAT AMPLO RESTRITO'!B2</f>
        <v>0.11633645824468362</v>
      </c>
      <c r="D9" s="318">
        <f t="shared" si="0"/>
        <v>196</v>
      </c>
      <c r="E9" s="92">
        <f>'NOPAT AMPLO RESTRITO'!C12/'NOPAT AMPLO RESTRITO'!C2</f>
        <v>0.11366711169648433</v>
      </c>
    </row>
    <row r="10" spans="1:5" x14ac:dyDescent="0.25">
      <c r="A10" s="7"/>
      <c r="B10" s="116" t="s">
        <v>112</v>
      </c>
      <c r="C10" s="93"/>
      <c r="D10" s="318">
        <f t="shared" si="0"/>
        <v>236</v>
      </c>
      <c r="E10" s="119">
        <f>'NOPAT AMPLO RESTRITO'!C12/'INDICADORES FINANCEIROS'!E132</f>
        <v>9.0659446283023415E-2</v>
      </c>
    </row>
    <row r="11" spans="1:5" x14ac:dyDescent="0.25">
      <c r="A11" s="7"/>
      <c r="B11" s="214" t="s">
        <v>113</v>
      </c>
      <c r="C11" s="94"/>
      <c r="E11" s="217">
        <f>IF('NOPAT AMPLO RESTRITO'!C12&gt;0,1,0)</f>
        <v>1</v>
      </c>
    </row>
    <row r="12" spans="1:5" x14ac:dyDescent="0.25">
      <c r="A12" s="7"/>
      <c r="B12" s="214" t="s">
        <v>114</v>
      </c>
      <c r="C12" s="94"/>
      <c r="E12" s="217">
        <f>IF('NOPAT AMPLO RESTRITO'!C23&gt;0,1,0)</f>
        <v>1</v>
      </c>
    </row>
    <row r="13" spans="1:5" ht="15.75" thickBot="1" x14ac:dyDescent="0.3">
      <c r="A13" s="7"/>
      <c r="B13" s="156" t="s">
        <v>115</v>
      </c>
      <c r="C13" s="215"/>
      <c r="D13" s="318">
        <f>D10+40</f>
        <v>276</v>
      </c>
      <c r="E13" s="216">
        <f>E188</f>
        <v>15.624936421351954</v>
      </c>
    </row>
    <row r="14" spans="1:5" x14ac:dyDescent="0.25">
      <c r="A14" s="7"/>
      <c r="B14" s="98"/>
      <c r="C14" s="99"/>
      <c r="E14" s="99"/>
    </row>
    <row r="15" spans="1:5" ht="15.75" thickBot="1" x14ac:dyDescent="0.3">
      <c r="A15" s="7"/>
      <c r="B15" s="4"/>
      <c r="C15" s="4"/>
      <c r="E15" s="4"/>
    </row>
    <row r="16" spans="1:5" ht="19.5" thickBot="1" x14ac:dyDescent="0.3">
      <c r="A16" s="80">
        <v>2</v>
      </c>
      <c r="B16" s="100" t="s">
        <v>116</v>
      </c>
      <c r="C16" s="101" t="str">
        <f>C4</f>
        <v> 31/12/2016</v>
      </c>
      <c r="E16" s="102" t="str">
        <f>E4</f>
        <v> 31/12/2017</v>
      </c>
    </row>
    <row r="17" spans="1:5" x14ac:dyDescent="0.25">
      <c r="A17" s="7"/>
      <c r="B17" s="84" t="s">
        <v>117</v>
      </c>
      <c r="C17" s="103"/>
      <c r="D17" s="318">
        <f>D13+40</f>
        <v>316</v>
      </c>
      <c r="E17" s="86">
        <f>'Demonstrativos Padrões'!C46/'Demonstrativos Padrões'!D46 -1</f>
        <v>3.7946708314282152E-2</v>
      </c>
    </row>
    <row r="18" spans="1:5" x14ac:dyDescent="0.25">
      <c r="A18" s="7"/>
      <c r="B18" s="87" t="s">
        <v>118</v>
      </c>
      <c r="C18" s="104"/>
      <c r="D18" s="318">
        <f>D17+40</f>
        <v>356</v>
      </c>
      <c r="E18" s="105">
        <f>'NOPAT AMPLO RESTRITO'!C12/'NOPAT AMPLO RESTRITO'!B12 -1</f>
        <v>1.4130962976511841E-2</v>
      </c>
    </row>
    <row r="19" spans="1:5" x14ac:dyDescent="0.25">
      <c r="A19" s="7"/>
      <c r="B19" s="87" t="s">
        <v>119</v>
      </c>
      <c r="C19" s="106"/>
      <c r="D19" s="318">
        <f t="shared" ref="D19:D23" si="1">D18+40</f>
        <v>396</v>
      </c>
      <c r="E19" s="264">
        <f>'NOPAT AMPLO RESTRITO'!C23/'NOPAT AMPLO RESTRITO'!B23 -1</f>
        <v>0.35915988125503917</v>
      </c>
    </row>
    <row r="20" spans="1:5" x14ac:dyDescent="0.25">
      <c r="A20" s="7"/>
      <c r="B20" s="107" t="s">
        <v>107</v>
      </c>
      <c r="C20" s="90">
        <f>C5</f>
        <v>0.31306851195500196</v>
      </c>
      <c r="D20" s="318">
        <f t="shared" si="1"/>
        <v>436</v>
      </c>
      <c r="E20" s="91">
        <f>E5</f>
        <v>0.31907960607759445</v>
      </c>
    </row>
    <row r="21" spans="1:5" x14ac:dyDescent="0.25">
      <c r="A21" s="7"/>
      <c r="B21" s="87" t="s">
        <v>120</v>
      </c>
      <c r="C21" s="90">
        <f>-'Demonstrativos Padrões'!D49/'Demonstrativos Padrões'!D46</f>
        <v>0.22470434820763305</v>
      </c>
      <c r="D21" s="318">
        <f t="shared" si="1"/>
        <v>476</v>
      </c>
      <c r="E21" s="91">
        <f>-('Demonstrativos Padrões'!C50+'Demonstrativos Padrões'!C51)/'Demonstrativos Padrões'!C46</f>
        <v>0.1926192578496855</v>
      </c>
    </row>
    <row r="22" spans="1:5" x14ac:dyDescent="0.25">
      <c r="A22" s="7"/>
      <c r="B22" s="87" t="s">
        <v>121</v>
      </c>
      <c r="C22" s="90">
        <f>-'Demonstrativos Padrões'!D58*(1-0.34)/'Demonstrativos Padrões'!D46</f>
        <v>6.7768877044770928E-2</v>
      </c>
      <c r="D22" s="318">
        <f t="shared" si="1"/>
        <v>516</v>
      </c>
      <c r="E22" s="91">
        <f>-('Demonstrativos Padrões'!C58*(1-0.34))/'Demonstrativos Padrões'!C46</f>
        <v>6.0492620217012266E-2</v>
      </c>
    </row>
    <row r="23" spans="1:5" x14ac:dyDescent="0.25">
      <c r="A23" s="7"/>
      <c r="B23" s="87" t="s">
        <v>122</v>
      </c>
      <c r="C23" s="90">
        <f>'Demonstrativos Padrões'!D63/'Demonstrativos Padrões'!D46</f>
        <v>4.1230342502663331E-2</v>
      </c>
      <c r="D23" s="318">
        <f t="shared" si="1"/>
        <v>556</v>
      </c>
      <c r="E23" s="91">
        <f>'Demonstrativos Padrões'!C63/'Demonstrativos Padrões'!C46</f>
        <v>5.3367519838456827E-2</v>
      </c>
    </row>
    <row r="24" spans="1:5" x14ac:dyDescent="0.25">
      <c r="A24" s="7"/>
      <c r="B24" s="87" t="s">
        <v>123</v>
      </c>
      <c r="C24" s="108">
        <f>-'Demonstrativos Padrões'!D60</f>
        <v>59728073</v>
      </c>
      <c r="E24" s="109">
        <f>-'Demonstrativos Padrões'!C60</f>
        <v>56682434</v>
      </c>
    </row>
    <row r="25" spans="1:5" ht="15.75" thickBot="1" x14ac:dyDescent="0.3">
      <c r="A25" s="7"/>
      <c r="B25" s="95" t="s">
        <v>124</v>
      </c>
      <c r="C25" s="227">
        <f>IF('Demonstrativos Padrões'!D109&gt;0,1,0)</f>
        <v>1</v>
      </c>
      <c r="D25" s="318">
        <f>D23+80</f>
        <v>636</v>
      </c>
      <c r="E25" s="228">
        <v>0.64306875664018515</v>
      </c>
    </row>
    <row r="26" spans="1:5" x14ac:dyDescent="0.25">
      <c r="A26" s="7"/>
      <c r="B26" s="98"/>
      <c r="C26" s="98"/>
      <c r="E26" s="98"/>
    </row>
    <row r="27" spans="1:5" ht="15.75" thickBot="1" x14ac:dyDescent="0.3">
      <c r="A27" s="7"/>
      <c r="B27" s="4"/>
      <c r="C27" s="4"/>
      <c r="E27" s="4"/>
    </row>
    <row r="28" spans="1:5" ht="19.5" thickBot="1" x14ac:dyDescent="0.3">
      <c r="A28" s="80">
        <v>3</v>
      </c>
      <c r="B28" s="110" t="s">
        <v>125</v>
      </c>
      <c r="C28" s="111" t="str">
        <f>C16</f>
        <v> 31/12/2016</v>
      </c>
      <c r="E28" s="112" t="str">
        <f>E16</f>
        <v> 31/12/2017</v>
      </c>
    </row>
    <row r="29" spans="1:5" x14ac:dyDescent="0.25">
      <c r="A29" s="7"/>
      <c r="B29" s="113" t="s">
        <v>126</v>
      </c>
      <c r="C29" s="114">
        <f>'Demonstrativos Padrões'!D4/'Demonstrativos Padrões'!D18</f>
        <v>1.5239419332119146</v>
      </c>
      <c r="D29" s="318">
        <f>D25+40</f>
        <v>676</v>
      </c>
      <c r="E29" s="115">
        <f>'Demonstrativos Padrões'!C4/'Demonstrativos Padrões'!C18</f>
        <v>1.5884861748300838</v>
      </c>
    </row>
    <row r="30" spans="1:5" x14ac:dyDescent="0.25">
      <c r="A30" s="7"/>
      <c r="B30" s="116" t="s">
        <v>127</v>
      </c>
      <c r="C30" s="117">
        <f>('Demonstrativos Padrões'!D4-'Demonstrativos Padrões'!D8)/'Demonstrativos Padrões'!D18</f>
        <v>1.226002781344683</v>
      </c>
      <c r="D30" s="318">
        <f>D29+40</f>
        <v>716</v>
      </c>
      <c r="E30" s="118">
        <f>('Demonstrativos Padrões'!C4-'Demonstrativos Padrões'!C8)/'Demonstrativos Padrões'!C18</f>
        <v>1.2726763107604206</v>
      </c>
    </row>
    <row r="31" spans="1:5" x14ac:dyDescent="0.25">
      <c r="A31" s="7"/>
      <c r="B31" s="116" t="s">
        <v>128</v>
      </c>
      <c r="C31" s="106"/>
      <c r="D31" s="318">
        <f t="shared" ref="D31:D34" si="2">D30+40</f>
        <v>756</v>
      </c>
      <c r="E31" s="119">
        <f>('NOPAT AMPLO RESTRITO'!C10-'Demonstrativos Padrões'!C80)/'Demonstrativos Padrões'!C46</f>
        <v>0.23214813467157949</v>
      </c>
    </row>
    <row r="32" spans="1:5" x14ac:dyDescent="0.25">
      <c r="A32" s="7"/>
      <c r="B32" s="116" t="s">
        <v>129</v>
      </c>
      <c r="C32" s="106"/>
      <c r="D32" s="318">
        <f t="shared" si="2"/>
        <v>796</v>
      </c>
      <c r="E32" s="119">
        <f>('NOPAT AMPLO RESTRITO'!C10-'Demonstrativos Padrões'!C80)/-'Demonstrativos Padrões'!C58</f>
        <v>2.5328340603132475</v>
      </c>
    </row>
    <row r="33" spans="1:5" x14ac:dyDescent="0.25">
      <c r="A33" s="7"/>
      <c r="B33" s="116" t="s">
        <v>130</v>
      </c>
      <c r="C33" s="120">
        <f>C144</f>
        <v>-7.1193239253106411</v>
      </c>
      <c r="D33" s="318">
        <f t="shared" si="2"/>
        <v>836</v>
      </c>
      <c r="E33" s="121">
        <f>E144</f>
        <v>-3.9434115648572678</v>
      </c>
    </row>
    <row r="34" spans="1:5" x14ac:dyDescent="0.25">
      <c r="A34" s="7"/>
      <c r="B34" s="116" t="s">
        <v>131</v>
      </c>
      <c r="C34" s="90">
        <f>C142/C143</f>
        <v>-1.9775899792529555E-2</v>
      </c>
      <c r="D34" s="318">
        <f t="shared" si="2"/>
        <v>876</v>
      </c>
      <c r="E34" s="119">
        <f>E142/E143</f>
        <v>-1.0953921013492412E-2</v>
      </c>
    </row>
    <row r="35" spans="1:5" ht="15.75" thickBot="1" x14ac:dyDescent="0.3">
      <c r="A35" s="122"/>
      <c r="B35" s="123" t="s">
        <v>132</v>
      </c>
      <c r="C35" s="124">
        <f>('Demonstrativos Padrões'!D4-'Demonstrativos Padrões'!D18)/C142</f>
        <v>-10.702660386942426</v>
      </c>
      <c r="D35" s="318">
        <v>2644</v>
      </c>
      <c r="E35" s="125">
        <f>('Demonstrativos Padrões'!C4-'Demonstrativos Padrões'!C18)/E142</f>
        <v>-20.639697499822706</v>
      </c>
    </row>
    <row r="36" spans="1:5" x14ac:dyDescent="0.25">
      <c r="A36" s="122"/>
      <c r="B36" s="309" t="s">
        <v>323</v>
      </c>
      <c r="C36" s="309"/>
      <c r="E36" s="310">
        <f>E154/('NOPAT AMPLO RESTRITO'!C10-'Demonstrativos Padrões'!C80)</f>
        <v>2.2741405541520856</v>
      </c>
    </row>
    <row r="37" spans="1:5" x14ac:dyDescent="0.25">
      <c r="A37" s="7"/>
      <c r="B37" s="4" t="s">
        <v>324</v>
      </c>
      <c r="C37" s="4"/>
      <c r="E37" s="310">
        <f>(('Demonstrativos Padrões'!C4-'Demonstrativos Padrões'!C18)-('Demonstrativos Padrões'!D4-'Demonstrativos Padrões'!D18))/('Demonstrativos Padrões'!C46)</f>
        <v>2.2168846989708328E-2</v>
      </c>
    </row>
    <row r="38" spans="1:5" x14ac:dyDescent="0.25">
      <c r="A38" s="7"/>
      <c r="B38" s="4" t="s">
        <v>325</v>
      </c>
      <c r="C38" s="4"/>
      <c r="E38" s="311">
        <f>('NOPAT AMPLO RESTRITO'!C10-'Demonstrativos Padrões'!C80)/'INDICADORES FINANCEIROS'!E154</f>
        <v>0.43972655875390715</v>
      </c>
    </row>
    <row r="39" spans="1:5" ht="15.75" thickBot="1" x14ac:dyDescent="0.3">
      <c r="A39" s="7"/>
      <c r="B39" s="4"/>
      <c r="C39" s="4"/>
      <c r="E39" s="4"/>
    </row>
    <row r="40" spans="1:5" ht="19.5" thickBot="1" x14ac:dyDescent="0.3">
      <c r="A40" s="80">
        <v>4</v>
      </c>
      <c r="B40" s="126" t="s">
        <v>133</v>
      </c>
      <c r="C40" s="127" t="str">
        <f>C28</f>
        <v> 31/12/2016</v>
      </c>
      <c r="E40" s="128" t="str">
        <f>E28</f>
        <v> 31/12/2017</v>
      </c>
    </row>
    <row r="41" spans="1:5" x14ac:dyDescent="0.25">
      <c r="A41" s="7"/>
      <c r="B41" s="84" t="s">
        <v>134</v>
      </c>
      <c r="C41" s="129">
        <f>('Demonstrativos Padrões'!D18+'Demonstrativos Padrões'!D26)/'Demonstrativos Padrões'!D34</f>
        <v>1.4087033978276697</v>
      </c>
      <c r="D41" s="318">
        <f>D34+40</f>
        <v>916</v>
      </c>
      <c r="E41" s="130">
        <f>('Demonstrativos Padrões'!C18+'Demonstrativos Padrões'!C26)/'Demonstrativos Padrões'!C34</f>
        <v>1.361819211392729</v>
      </c>
    </row>
    <row r="42" spans="1:5" x14ac:dyDescent="0.25">
      <c r="A42" s="7"/>
      <c r="B42" s="87" t="s">
        <v>135</v>
      </c>
      <c r="C42" s="131"/>
      <c r="D42" s="318">
        <f t="shared" ref="D42:D45" si="3">D41+40</f>
        <v>956</v>
      </c>
      <c r="E42" s="132">
        <f>(C41+E41)/2</f>
        <v>1.3852613046101994</v>
      </c>
    </row>
    <row r="43" spans="1:5" x14ac:dyDescent="0.25">
      <c r="A43" s="7"/>
      <c r="B43" s="87" t="s">
        <v>136</v>
      </c>
      <c r="C43" s="131"/>
      <c r="D43" s="318">
        <f t="shared" si="3"/>
        <v>996</v>
      </c>
      <c r="E43" s="132">
        <f>E156</f>
        <v>0.72734317294404682</v>
      </c>
    </row>
    <row r="44" spans="1:5" x14ac:dyDescent="0.25">
      <c r="A44" s="133"/>
      <c r="B44" s="134" t="s">
        <v>137</v>
      </c>
      <c r="C44" s="135"/>
      <c r="D44" s="318">
        <f t="shared" si="3"/>
        <v>1036</v>
      </c>
      <c r="E44" s="136">
        <f>E148/E157</f>
        <v>0.5806674073561352</v>
      </c>
    </row>
    <row r="45" spans="1:5" x14ac:dyDescent="0.25">
      <c r="A45" s="133"/>
      <c r="B45" s="134" t="s">
        <v>138</v>
      </c>
      <c r="C45" s="135"/>
      <c r="D45" s="318">
        <f t="shared" si="3"/>
        <v>1076</v>
      </c>
      <c r="E45" s="136">
        <f>E154/E157</f>
        <v>0.30499869845244204</v>
      </c>
    </row>
    <row r="46" spans="1:5" ht="15.75" thickBot="1" x14ac:dyDescent="0.3">
      <c r="A46" s="122"/>
      <c r="B46" s="95" t="s">
        <v>139</v>
      </c>
      <c r="C46" s="137"/>
      <c r="E46" s="138">
        <f>E50/E72</f>
        <v>0.81099994249933582</v>
      </c>
    </row>
    <row r="47" spans="1:5" x14ac:dyDescent="0.25">
      <c r="A47" s="7"/>
      <c r="B47" s="4"/>
      <c r="C47" s="4"/>
      <c r="E47" s="4"/>
    </row>
    <row r="48" spans="1:5" ht="15.75" thickBot="1" x14ac:dyDescent="0.3">
      <c r="A48" s="7"/>
      <c r="B48" s="4"/>
      <c r="C48" s="4"/>
      <c r="E48" s="4"/>
    </row>
    <row r="49" spans="1:5" ht="19.5" thickBot="1" x14ac:dyDescent="0.3">
      <c r="A49" s="80">
        <v>5</v>
      </c>
      <c r="B49" s="81" t="s">
        <v>140</v>
      </c>
      <c r="C49" s="82" t="str">
        <f>C40</f>
        <v> 31/12/2016</v>
      </c>
      <c r="E49" s="83" t="str">
        <f>E40</f>
        <v> 31/12/2017</v>
      </c>
    </row>
    <row r="50" spans="1:5" x14ac:dyDescent="0.25">
      <c r="A50" s="7"/>
      <c r="B50" s="84" t="s">
        <v>141</v>
      </c>
      <c r="C50" s="103"/>
      <c r="D50" s="318">
        <f>D45+40</f>
        <v>1116</v>
      </c>
      <c r="E50" s="86">
        <f>'Demonstrativos Padrões'!C63/'INDICADORES FINANCEIROS'!E155</f>
        <v>7.3524805722553613E-2</v>
      </c>
    </row>
    <row r="51" spans="1:5" x14ac:dyDescent="0.25">
      <c r="A51" s="8"/>
      <c r="B51" s="107" t="s">
        <v>142</v>
      </c>
      <c r="C51" s="106"/>
      <c r="D51" s="318">
        <f t="shared" ref="D51:D54" si="4">D50+40</f>
        <v>1156</v>
      </c>
      <c r="E51" s="91">
        <f>E50-E90</f>
        <v>-2.7575194277446383E-2</v>
      </c>
    </row>
    <row r="52" spans="1:5" x14ac:dyDescent="0.25">
      <c r="A52" s="7"/>
      <c r="B52" s="87" t="s">
        <v>143</v>
      </c>
      <c r="C52" s="139"/>
      <c r="D52" s="318">
        <f t="shared" si="4"/>
        <v>1196</v>
      </c>
      <c r="E52" s="109">
        <f>E51*E149</f>
        <v>-51273423.21745</v>
      </c>
    </row>
    <row r="53" spans="1:5" x14ac:dyDescent="0.25">
      <c r="A53" s="7"/>
      <c r="B53" s="87" t="s">
        <v>144</v>
      </c>
      <c r="C53" s="139"/>
      <c r="D53" s="318">
        <f t="shared" si="4"/>
        <v>1236</v>
      </c>
      <c r="E53" s="91">
        <f>E52/E149</f>
        <v>-2.7575194277446383E-2</v>
      </c>
    </row>
    <row r="54" spans="1:5" ht="15.75" thickBot="1" x14ac:dyDescent="0.3">
      <c r="A54" s="7"/>
      <c r="B54" s="95" t="s">
        <v>145</v>
      </c>
      <c r="C54" s="137"/>
      <c r="D54" s="318">
        <f t="shared" si="4"/>
        <v>1276</v>
      </c>
      <c r="E54" s="138">
        <f>E50-E10</f>
        <v>-1.7134640560469802E-2</v>
      </c>
    </row>
    <row r="55" spans="1:5" x14ac:dyDescent="0.25">
      <c r="A55" s="7"/>
      <c r="B55" s="4"/>
      <c r="C55" s="4"/>
      <c r="E55" s="4"/>
    </row>
    <row r="56" spans="1:5" ht="15.75" thickBot="1" x14ac:dyDescent="0.3">
      <c r="A56" s="7"/>
      <c r="B56" s="4"/>
      <c r="C56" s="4"/>
      <c r="E56" s="4"/>
    </row>
    <row r="57" spans="1:5" ht="19.5" thickBot="1" x14ac:dyDescent="0.3">
      <c r="A57" s="80">
        <v>6</v>
      </c>
      <c r="B57" s="100" t="s">
        <v>146</v>
      </c>
      <c r="C57" s="101" t="str">
        <f>C49</f>
        <v> 31/12/2016</v>
      </c>
      <c r="E57" s="102" t="str">
        <f>E49</f>
        <v> 31/12/2017</v>
      </c>
    </row>
    <row r="58" spans="1:5" x14ac:dyDescent="0.25">
      <c r="A58" s="7"/>
      <c r="B58" s="140" t="s">
        <v>147</v>
      </c>
      <c r="C58" s="139"/>
      <c r="D58" s="318">
        <f>D54+40</f>
        <v>1316</v>
      </c>
      <c r="E58" s="208">
        <v>0.11360000000000001</v>
      </c>
    </row>
    <row r="59" spans="1:5" x14ac:dyDescent="0.25">
      <c r="A59" s="7"/>
      <c r="B59" s="87" t="s">
        <v>148</v>
      </c>
      <c r="C59" s="139"/>
      <c r="D59" s="318">
        <f t="shared" ref="D59:D62" si="5">D58+40</f>
        <v>1356</v>
      </c>
      <c r="E59" s="91">
        <f>E169</f>
        <v>8.8040672074179815E-2</v>
      </c>
    </row>
    <row r="60" spans="1:5" x14ac:dyDescent="0.25">
      <c r="A60" s="7"/>
      <c r="B60" s="87" t="s">
        <v>149</v>
      </c>
      <c r="C60" s="139"/>
      <c r="D60" s="318">
        <f t="shared" si="5"/>
        <v>1396</v>
      </c>
      <c r="E60" s="91">
        <f>E50-E58</f>
        <v>-4.0075194277446394E-2</v>
      </c>
    </row>
    <row r="61" spans="1:5" x14ac:dyDescent="0.25">
      <c r="A61" s="7"/>
      <c r="B61" s="87" t="s">
        <v>150</v>
      </c>
      <c r="C61" s="141"/>
      <c r="D61" s="318">
        <f t="shared" si="5"/>
        <v>1436</v>
      </c>
      <c r="E61" s="142">
        <f>E72-E59</f>
        <v>2.6187742088435995E-3</v>
      </c>
    </row>
    <row r="62" spans="1:5" ht="15.75" thickBot="1" x14ac:dyDescent="0.3">
      <c r="A62" s="7"/>
      <c r="B62" s="95" t="s">
        <v>151</v>
      </c>
      <c r="C62" s="143"/>
      <c r="D62" s="318">
        <f t="shared" si="5"/>
        <v>1476</v>
      </c>
      <c r="E62" s="144">
        <f>((E170/E169)+E132)/E132</f>
        <v>0.73647995292350521</v>
      </c>
    </row>
    <row r="63" spans="1:5" x14ac:dyDescent="0.25">
      <c r="A63" s="7"/>
      <c r="B63" s="4"/>
      <c r="C63" s="145"/>
      <c r="E63" s="146"/>
    </row>
    <row r="64" spans="1:5" ht="15.75" thickBot="1" x14ac:dyDescent="0.3">
      <c r="A64" s="7"/>
      <c r="B64" s="4"/>
      <c r="C64" s="4"/>
      <c r="E64" s="4"/>
    </row>
    <row r="65" spans="1:5" ht="19.5" thickBot="1" x14ac:dyDescent="0.3">
      <c r="A65" s="80">
        <v>7</v>
      </c>
      <c r="B65" s="110" t="s">
        <v>152</v>
      </c>
      <c r="C65" s="111" t="str">
        <f>C57</f>
        <v> 31/12/2016</v>
      </c>
      <c r="E65" s="112" t="str">
        <f>E57</f>
        <v> 31/12/2017</v>
      </c>
    </row>
    <row r="66" spans="1:5" x14ac:dyDescent="0.25">
      <c r="A66" s="7"/>
      <c r="B66" s="84" t="str">
        <f>B6</f>
        <v>Giro dos Investimentos</v>
      </c>
      <c r="C66" s="147"/>
      <c r="D66" s="318">
        <f>D62+40</f>
        <v>1516</v>
      </c>
      <c r="E66" s="130">
        <f>E6</f>
        <v>0.79758731377906089</v>
      </c>
    </row>
    <row r="67" spans="1:5" x14ac:dyDescent="0.25">
      <c r="A67" s="7"/>
      <c r="B67" s="87" t="str">
        <f>B9</f>
        <v>Margem Operacional Ampla</v>
      </c>
      <c r="C67" s="90">
        <f>C9</f>
        <v>0.11633645824468362</v>
      </c>
      <c r="D67" s="318">
        <f t="shared" ref="D67:D74" si="6">D66+40</f>
        <v>1556</v>
      </c>
      <c r="E67" s="91">
        <f>E9</f>
        <v>0.11366711169648433</v>
      </c>
    </row>
    <row r="68" spans="1:5" x14ac:dyDescent="0.25">
      <c r="A68" s="7"/>
      <c r="B68" s="87" t="str">
        <f>B23</f>
        <v>Margem Líquida</v>
      </c>
      <c r="C68" s="90">
        <f>C23</f>
        <v>4.1230342502663331E-2</v>
      </c>
      <c r="D68" s="318">
        <f t="shared" si="6"/>
        <v>1596</v>
      </c>
      <c r="E68" s="91">
        <f>E23</f>
        <v>5.3367519838456827E-2</v>
      </c>
    </row>
    <row r="69" spans="1:5" x14ac:dyDescent="0.25">
      <c r="A69" s="7"/>
      <c r="B69" s="87" t="str">
        <f>B31</f>
        <v>EBITDA / Vendas</v>
      </c>
      <c r="C69" s="88"/>
      <c r="D69" s="318">
        <f t="shared" si="6"/>
        <v>1636</v>
      </c>
      <c r="E69" s="91">
        <f>E31</f>
        <v>0.23214813467157949</v>
      </c>
    </row>
    <row r="70" spans="1:5" x14ac:dyDescent="0.25">
      <c r="A70" s="7"/>
      <c r="B70" s="87" t="str">
        <f>B43</f>
        <v>Endividamento Oneroso Médio</v>
      </c>
      <c r="C70" s="88"/>
      <c r="D70" s="318">
        <f t="shared" si="6"/>
        <v>1676</v>
      </c>
      <c r="E70" s="89">
        <f>E43</f>
        <v>0.72734317294404682</v>
      </c>
    </row>
    <row r="71" spans="1:5" x14ac:dyDescent="0.25">
      <c r="A71" s="7"/>
      <c r="B71" s="87" t="str">
        <f>B50</f>
        <v>ROE - Retorno sobre o Patrimônio Líquido</v>
      </c>
      <c r="C71" s="106"/>
      <c r="D71" s="318">
        <f t="shared" si="6"/>
        <v>1716</v>
      </c>
      <c r="E71" s="91">
        <f>E50</f>
        <v>7.3524805722553613E-2</v>
      </c>
    </row>
    <row r="72" spans="1:5" x14ac:dyDescent="0.25">
      <c r="A72" s="7"/>
      <c r="B72" s="87" t="str">
        <f>B10</f>
        <v>ROCE - Retorno s/ Capital Investido</v>
      </c>
      <c r="C72" s="106"/>
      <c r="D72" s="318">
        <f t="shared" si="6"/>
        <v>1756</v>
      </c>
      <c r="E72" s="91">
        <f>E10</f>
        <v>9.0659446283023415E-2</v>
      </c>
    </row>
    <row r="73" spans="1:5" x14ac:dyDescent="0.25">
      <c r="A73" s="7"/>
      <c r="B73" s="87" t="str">
        <f>B51</f>
        <v>Prêmio pelo Risco do Acionista (%)</v>
      </c>
      <c r="C73" s="148"/>
      <c r="D73" s="318">
        <f t="shared" si="6"/>
        <v>1796</v>
      </c>
      <c r="E73" s="142">
        <f>E51</f>
        <v>-2.7575194277446383E-2</v>
      </c>
    </row>
    <row r="74" spans="1:5" ht="15.75" thickBot="1" x14ac:dyDescent="0.3">
      <c r="A74" s="7"/>
      <c r="B74" s="95" t="s">
        <v>115</v>
      </c>
      <c r="C74" s="96"/>
      <c r="D74" s="318">
        <f t="shared" si="6"/>
        <v>1836</v>
      </c>
      <c r="E74" s="97">
        <f>E188</f>
        <v>15.624936421351954</v>
      </c>
    </row>
    <row r="75" spans="1:5" x14ac:dyDescent="0.25">
      <c r="A75" s="7"/>
      <c r="B75" s="4"/>
      <c r="C75" s="4"/>
      <c r="E75" s="4"/>
    </row>
    <row r="76" spans="1:5" ht="15.75" thickBot="1" x14ac:dyDescent="0.3">
      <c r="A76" s="7"/>
      <c r="B76" s="4"/>
      <c r="C76" s="4"/>
      <c r="E76" s="4"/>
    </row>
    <row r="77" spans="1:5" ht="19.5" thickBot="1" x14ac:dyDescent="0.3">
      <c r="A77" s="80">
        <v>8</v>
      </c>
      <c r="B77" s="149" t="s">
        <v>153</v>
      </c>
      <c r="C77" s="150" t="str">
        <f>C65</f>
        <v> 31/12/2016</v>
      </c>
      <c r="E77" s="151" t="str">
        <f>E65</f>
        <v> 31/12/2017</v>
      </c>
    </row>
    <row r="78" spans="1:5" ht="18.75" x14ac:dyDescent="0.25">
      <c r="A78" s="80"/>
      <c r="B78" s="152" t="s">
        <v>154</v>
      </c>
      <c r="C78" s="153"/>
      <c r="E78" s="154">
        <f>'Demonstrativos Padrões'!C85/'Demonstrativos Padrões'!$C$85</f>
        <v>1</v>
      </c>
    </row>
    <row r="79" spans="1:5" x14ac:dyDescent="0.25">
      <c r="A79" s="8"/>
      <c r="B79" s="155" t="s">
        <v>155</v>
      </c>
      <c r="C79" s="104"/>
      <c r="D79" s="318">
        <f>D74+200</f>
        <v>2036</v>
      </c>
      <c r="E79" s="154">
        <f>'Demonstrativos Padrões'!C86/'Demonstrativos Padrões'!$C$85</f>
        <v>0.2547401346013064</v>
      </c>
    </row>
    <row r="80" spans="1:5" x14ac:dyDescent="0.25">
      <c r="A80" s="8"/>
      <c r="B80" s="116" t="s">
        <v>156</v>
      </c>
      <c r="C80" s="106"/>
      <c r="D80" s="318">
        <f>D79+40</f>
        <v>2076</v>
      </c>
      <c r="E80" s="154">
        <f>'Demonstrativos Padrões'!C87/'Demonstrativos Padrões'!$C$85</f>
        <v>0.41726472342261839</v>
      </c>
    </row>
    <row r="81" spans="1:16" x14ac:dyDescent="0.25">
      <c r="A81" s="8"/>
      <c r="B81" s="116" t="s">
        <v>157</v>
      </c>
      <c r="C81" s="106"/>
      <c r="D81" s="318">
        <f t="shared" ref="D81:D83" si="7">D80+40</f>
        <v>2116</v>
      </c>
      <c r="E81" s="154">
        <f>'Demonstrativos Padrões'!C88/'Demonstrativos Padrões'!$C$85</f>
        <v>0.22817897945469856</v>
      </c>
    </row>
    <row r="82" spans="1:16" x14ac:dyDescent="0.25">
      <c r="A82" s="8"/>
      <c r="B82" s="116" t="s">
        <v>158</v>
      </c>
      <c r="C82" s="106"/>
      <c r="D82" s="318">
        <f t="shared" si="7"/>
        <v>2156</v>
      </c>
      <c r="E82" s="154">
        <f>'Demonstrativos Padrões'!C89/'Demonstrativos Padrões'!$C$85</f>
        <v>9.7403663811160793E-2</v>
      </c>
    </row>
    <row r="83" spans="1:16" ht="15.75" thickBot="1" x14ac:dyDescent="0.3">
      <c r="A83" s="8"/>
      <c r="B83" s="156" t="s">
        <v>159</v>
      </c>
      <c r="C83" s="157"/>
      <c r="D83" s="318">
        <f t="shared" si="7"/>
        <v>2196</v>
      </c>
      <c r="E83" s="229">
        <f>'Demonstrativos Padrões'!C90/'Demonstrativos Padrões'!$C$85</f>
        <v>2.4124987102158617E-3</v>
      </c>
    </row>
    <row r="84" spans="1:16" x14ac:dyDescent="0.25">
      <c r="A84" s="7"/>
      <c r="B84" s="4"/>
      <c r="C84" s="4"/>
      <c r="E84" s="4"/>
    </row>
    <row r="85" spans="1:16" ht="15.75" thickBot="1" x14ac:dyDescent="0.3">
      <c r="A85" s="7"/>
      <c r="B85" s="4"/>
      <c r="C85" s="4"/>
      <c r="E85" s="4"/>
    </row>
    <row r="86" spans="1:16" ht="18.75" x14ac:dyDescent="0.25">
      <c r="A86" s="80">
        <v>9</v>
      </c>
      <c r="B86" s="158" t="s">
        <v>160</v>
      </c>
      <c r="C86" s="159" t="str">
        <f>C65</f>
        <v> 31/12/2016</v>
      </c>
      <c r="E86" s="160" t="str">
        <f>E65</f>
        <v> 31/12/2017</v>
      </c>
    </row>
    <row r="87" spans="1:16" x14ac:dyDescent="0.25">
      <c r="A87" s="8"/>
      <c r="B87" s="87" t="s">
        <v>161</v>
      </c>
      <c r="C87" s="218">
        <v>6.2799999999999995E-2</v>
      </c>
      <c r="E87" s="321">
        <v>2.9472999999999999E-2</v>
      </c>
    </row>
    <row r="88" spans="1:16" x14ac:dyDescent="0.25">
      <c r="A88" s="8"/>
      <c r="B88" s="87" t="s">
        <v>162</v>
      </c>
      <c r="C88" s="218">
        <v>8.3479999999999999E-2</v>
      </c>
      <c r="E88" s="321">
        <v>6.9989999999999997E-2</v>
      </c>
    </row>
    <row r="89" spans="1:16" x14ac:dyDescent="0.25">
      <c r="A89" s="8"/>
      <c r="B89" s="87" t="s">
        <v>163</v>
      </c>
      <c r="C89" s="218">
        <v>0.1399</v>
      </c>
      <c r="E89" s="321">
        <v>9.9250000000000005E-2</v>
      </c>
    </row>
    <row r="90" spans="1:16" x14ac:dyDescent="0.25">
      <c r="A90" s="8"/>
      <c r="B90" s="87" t="s">
        <v>164</v>
      </c>
      <c r="C90" s="218">
        <v>0.14180000000000001</v>
      </c>
      <c r="E90" s="321">
        <v>0.1011</v>
      </c>
    </row>
    <row r="91" spans="1:16" ht="15.75" thickBot="1" x14ac:dyDescent="0.3">
      <c r="A91" s="8"/>
      <c r="B91" s="95" t="s">
        <v>165</v>
      </c>
      <c r="C91" s="219">
        <v>0.38940000000000002</v>
      </c>
      <c r="E91" s="321">
        <v>0.26860000000000001</v>
      </c>
    </row>
    <row r="93" spans="1:16" ht="15.75" thickBot="1" x14ac:dyDescent="0.3"/>
    <row r="94" spans="1:16" ht="18.75" x14ac:dyDescent="0.25">
      <c r="A94" s="80">
        <v>10</v>
      </c>
      <c r="B94" s="276" t="s">
        <v>317</v>
      </c>
      <c r="C94" s="277"/>
      <c r="D94" s="319"/>
      <c r="E94" s="278" t="str">
        <f>E86</f>
        <v> 31/12/2017</v>
      </c>
      <c r="G94" s="302"/>
      <c r="H94" s="302"/>
      <c r="I94" s="302"/>
      <c r="J94" s="302"/>
      <c r="K94" s="302"/>
      <c r="L94" s="302"/>
      <c r="M94" s="302"/>
      <c r="N94" s="302"/>
      <c r="O94" s="302"/>
      <c r="P94" s="302"/>
    </row>
    <row r="95" spans="1:16" x14ac:dyDescent="0.25">
      <c r="B95" s="116" t="s">
        <v>308</v>
      </c>
      <c r="C95" s="218"/>
      <c r="D95" s="319"/>
      <c r="E95" s="268">
        <f>E103</f>
        <v>7.3551037539873063E-2</v>
      </c>
      <c r="G95" s="302"/>
      <c r="H95" s="302"/>
      <c r="I95" s="302"/>
      <c r="J95" s="302"/>
      <c r="K95" s="302"/>
      <c r="L95" s="302"/>
      <c r="M95" s="302"/>
      <c r="N95" s="302"/>
      <c r="O95" s="302"/>
      <c r="P95" s="302"/>
    </row>
    <row r="96" spans="1:16" x14ac:dyDescent="0.25">
      <c r="B96" s="214" t="s">
        <v>309</v>
      </c>
      <c r="C96" s="267"/>
      <c r="D96" s="319"/>
      <c r="E96" s="269">
        <f>E58</f>
        <v>0.11360000000000001</v>
      </c>
      <c r="G96" s="302"/>
      <c r="H96" s="302"/>
      <c r="I96" s="302"/>
      <c r="J96" s="302"/>
      <c r="K96" s="302"/>
      <c r="L96" s="302"/>
      <c r="M96" s="302"/>
      <c r="N96" s="302"/>
      <c r="O96" s="302"/>
      <c r="P96" s="302"/>
    </row>
    <row r="97" spans="1:16" x14ac:dyDescent="0.25">
      <c r="B97" s="270" t="s">
        <v>318</v>
      </c>
      <c r="C97" s="37"/>
      <c r="D97" s="319">
        <f>D83+208</f>
        <v>2404</v>
      </c>
      <c r="E97" s="271">
        <f>E95-E96</f>
        <v>-4.0048962460126944E-2</v>
      </c>
      <c r="G97" s="302"/>
      <c r="H97" s="302"/>
      <c r="I97" s="302"/>
      <c r="J97" s="302"/>
      <c r="K97" s="302"/>
      <c r="L97" s="302"/>
      <c r="M97" s="302"/>
      <c r="N97" s="302"/>
      <c r="O97" s="302"/>
      <c r="P97" s="302"/>
    </row>
    <row r="98" spans="1:16" x14ac:dyDescent="0.25">
      <c r="B98" s="270" t="s">
        <v>310</v>
      </c>
      <c r="C98" s="37"/>
      <c r="D98" s="319"/>
      <c r="E98" s="272">
        <f>'QTDE DE AÇÕES'!B2</f>
        <v>1699416964.9412553</v>
      </c>
      <c r="G98" s="302"/>
      <c r="H98" s="302"/>
      <c r="I98" s="302"/>
      <c r="J98" s="302"/>
      <c r="K98" s="302"/>
      <c r="L98" s="302"/>
      <c r="M98" s="302"/>
      <c r="N98" s="302"/>
      <c r="O98" s="302"/>
      <c r="P98" s="302"/>
    </row>
    <row r="99" spans="1:16" ht="15.75" thickBot="1" x14ac:dyDescent="0.3">
      <c r="B99" s="273" t="s">
        <v>307</v>
      </c>
      <c r="C99" s="274"/>
      <c r="D99" s="319">
        <f>D97-40</f>
        <v>2364</v>
      </c>
      <c r="E99" s="275">
        <f>E98*E97</f>
        <v>-68059886.233035207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1:16" x14ac:dyDescent="0.25">
      <c r="B100" s="191"/>
      <c r="C100" s="280"/>
      <c r="D100" s="319"/>
      <c r="E100" s="281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</row>
    <row r="101" spans="1:16" ht="15.75" thickBot="1" x14ac:dyDescent="0.3">
      <c r="B101" s="191"/>
      <c r="C101" s="280"/>
      <c r="D101" s="319"/>
      <c r="E101" s="281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</row>
    <row r="102" spans="1:16" ht="18.75" x14ac:dyDescent="0.25">
      <c r="A102" s="80">
        <v>11</v>
      </c>
      <c r="B102" s="299" t="s">
        <v>315</v>
      </c>
      <c r="C102" s="300"/>
      <c r="D102" s="319"/>
      <c r="E102" s="301" t="str">
        <f>E94</f>
        <v> 31/12/2017</v>
      </c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</row>
    <row r="103" spans="1:16" x14ac:dyDescent="0.25">
      <c r="B103" s="242" t="s">
        <v>316</v>
      </c>
      <c r="C103" s="295"/>
      <c r="D103" s="319">
        <f>D99-80</f>
        <v>2284</v>
      </c>
      <c r="E103" s="296">
        <f>'Demonstrativos Padrões'!C63/'INDICADORES FINANCEIROS'!E175</f>
        <v>7.3551037539873063E-2</v>
      </c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</row>
    <row r="104" spans="1:16" x14ac:dyDescent="0.25">
      <c r="B104" s="242" t="s">
        <v>309</v>
      </c>
      <c r="C104" s="295"/>
      <c r="D104" s="319"/>
      <c r="E104" s="296">
        <f>E58</f>
        <v>0.11360000000000001</v>
      </c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</row>
    <row r="105" spans="1:16" x14ac:dyDescent="0.25">
      <c r="B105" s="242" t="s">
        <v>112</v>
      </c>
      <c r="C105" s="37"/>
      <c r="D105" s="319">
        <f>D103+40</f>
        <v>2324</v>
      </c>
      <c r="E105" s="297">
        <f>'NOPAT AMPLO RESTRITO'!C12/'INDICADORES FINANCEIROS'!E176</f>
        <v>9.0678168776545748E-2</v>
      </c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</row>
    <row r="106" spans="1:16" x14ac:dyDescent="0.25">
      <c r="B106" s="270" t="s">
        <v>142</v>
      </c>
      <c r="C106" s="37"/>
      <c r="D106" s="319">
        <f>D105+120</f>
        <v>2444</v>
      </c>
      <c r="E106" s="298">
        <f>E103-E90</f>
        <v>-2.7548962460126933E-2</v>
      </c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</row>
    <row r="107" spans="1:16" x14ac:dyDescent="0.25">
      <c r="B107" s="242" t="s">
        <v>143</v>
      </c>
      <c r="C107" s="37"/>
      <c r="D107" s="319">
        <f>D106+40</f>
        <v>2484</v>
      </c>
      <c r="E107" s="272">
        <f>E106*E175</f>
        <v>-51206378.51555144</v>
      </c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</row>
    <row r="108" spans="1:16" x14ac:dyDescent="0.25">
      <c r="B108" s="242" t="s">
        <v>312</v>
      </c>
      <c r="C108" s="37"/>
      <c r="D108" s="319">
        <f t="shared" ref="D108:D109" si="8">D107+40</f>
        <v>2524</v>
      </c>
      <c r="E108" s="298">
        <f>E181</f>
        <v>8.8035393701421688E-2</v>
      </c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</row>
    <row r="109" spans="1:16" x14ac:dyDescent="0.25">
      <c r="B109" s="303" t="s">
        <v>313</v>
      </c>
      <c r="C109" s="304"/>
      <c r="D109" s="319">
        <f t="shared" si="8"/>
        <v>2564</v>
      </c>
      <c r="E109" s="305">
        <f>E182</f>
        <v>-74440637.605011344</v>
      </c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</row>
    <row r="110" spans="1:16" x14ac:dyDescent="0.25">
      <c r="B110" s="242" t="s">
        <v>187</v>
      </c>
      <c r="C110" s="37"/>
      <c r="D110" s="319"/>
      <c r="E110" s="272">
        <f>E174</f>
        <v>1352424717.5</v>
      </c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</row>
    <row r="111" spans="1:16" x14ac:dyDescent="0.25">
      <c r="B111" s="242" t="s">
        <v>311</v>
      </c>
      <c r="C111" s="37"/>
      <c r="D111" s="320"/>
      <c r="E111" s="272">
        <f>E175</f>
        <v>1858740727.1567898</v>
      </c>
      <c r="G111" s="316"/>
      <c r="H111" s="302"/>
      <c r="I111" s="302"/>
      <c r="J111" s="302"/>
      <c r="K111" s="302"/>
      <c r="L111" s="302"/>
      <c r="M111" s="302"/>
      <c r="N111" s="302"/>
      <c r="O111" s="302"/>
      <c r="P111" s="302"/>
    </row>
    <row r="112" spans="1:16" x14ac:dyDescent="0.25">
      <c r="B112" s="242" t="s">
        <v>171</v>
      </c>
      <c r="C112" s="37"/>
      <c r="D112" s="319"/>
      <c r="E112" s="272">
        <f>E176</f>
        <v>3211165444.6567898</v>
      </c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</row>
    <row r="113" spans="1:5" x14ac:dyDescent="0.25">
      <c r="B113" s="270" t="s">
        <v>319</v>
      </c>
      <c r="C113" s="37"/>
      <c r="D113" s="318">
        <f>D109+40</f>
        <v>2604</v>
      </c>
      <c r="E113" s="297">
        <f>E110/E111</f>
        <v>0.72760267085164021</v>
      </c>
    </row>
    <row r="114" spans="1:5" ht="15.75" thickBot="1" x14ac:dyDescent="0.3">
      <c r="B114" s="273" t="s">
        <v>326</v>
      </c>
      <c r="C114" s="274"/>
      <c r="E114" s="317">
        <f>E111/(('Demonstrativos Padrões'!D34+'Demonstrativos Padrões'!C34)/2)</f>
        <v>0.99964335217833977</v>
      </c>
    </row>
    <row r="115" spans="1:5" x14ac:dyDescent="0.25">
      <c r="A115" s="161"/>
      <c r="B115" s="162"/>
      <c r="C115" s="162"/>
      <c r="E115" s="162"/>
    </row>
    <row r="116" spans="1:5" x14ac:dyDescent="0.25">
      <c r="A116" s="8"/>
      <c r="B116" s="145"/>
      <c r="C116" s="145"/>
      <c r="E116" s="145"/>
    </row>
    <row r="117" spans="1:5" x14ac:dyDescent="0.25">
      <c r="A117" s="3" t="s">
        <v>166</v>
      </c>
      <c r="B117" s="98"/>
      <c r="C117" s="163"/>
      <c r="E117" s="163"/>
    </row>
    <row r="118" spans="1:5" ht="15.75" thickBot="1" x14ac:dyDescent="0.3">
      <c r="A118" s="3"/>
      <c r="B118" s="98"/>
      <c r="C118" s="163"/>
      <c r="E118" s="163"/>
    </row>
    <row r="119" spans="1:5" x14ac:dyDescent="0.25">
      <c r="A119" s="7"/>
      <c r="B119" s="239" t="s">
        <v>167</v>
      </c>
      <c r="C119" s="240" t="str">
        <f>C86</f>
        <v> 31/12/2016</v>
      </c>
      <c r="E119" s="241" t="str">
        <f>E86</f>
        <v> 31/12/2017</v>
      </c>
    </row>
    <row r="120" spans="1:5" x14ac:dyDescent="0.25">
      <c r="A120" s="8"/>
      <c r="B120" s="242" t="s">
        <v>168</v>
      </c>
      <c r="C120" s="237"/>
      <c r="E120" s="243">
        <f>-'Demonstrativos Padrões'!C80</f>
        <v>159292865</v>
      </c>
    </row>
    <row r="121" spans="1:5" x14ac:dyDescent="0.25">
      <c r="A121" s="167"/>
      <c r="B121" s="242" t="s">
        <v>215</v>
      </c>
      <c r="C121" s="238"/>
      <c r="E121" s="244">
        <f>'NOPAT AMPLO RESTRITO'!C23/'NOPAT AMPLO RESTRITO'!B23 -1</f>
        <v>0.35915988125503917</v>
      </c>
    </row>
    <row r="122" spans="1:5" x14ac:dyDescent="0.25">
      <c r="A122" s="167"/>
      <c r="B122" s="242" t="s">
        <v>216</v>
      </c>
      <c r="C122" s="238"/>
      <c r="E122" s="244">
        <f>'NOPAT AMPLO RESTRITO'!C12/'NOPAT AMPLO RESTRITO'!B12 -1</f>
        <v>1.4130962976511841E-2</v>
      </c>
    </row>
    <row r="123" spans="1:5" x14ac:dyDescent="0.25">
      <c r="A123" s="167"/>
      <c r="B123" s="245" t="s">
        <v>217</v>
      </c>
      <c r="C123" s="238"/>
      <c r="D123" s="318">
        <f>D113-2008</f>
        <v>596</v>
      </c>
      <c r="E123" s="244">
        <f>-'Demonstrativos Padrões'!C60/'Demonstrativos Padrões'!C46</f>
        <v>2.2126763442983175E-2</v>
      </c>
    </row>
    <row r="124" spans="1:5" x14ac:dyDescent="0.25">
      <c r="A124" s="167"/>
      <c r="B124" s="242" t="s">
        <v>218</v>
      </c>
      <c r="C124" s="238"/>
      <c r="D124" s="318">
        <f>D123+1280</f>
        <v>1876</v>
      </c>
      <c r="E124" s="244">
        <f>(1+E71)/(1+E87)-1</f>
        <v>4.2790637270286425E-2</v>
      </c>
    </row>
    <row r="125" spans="1:5" x14ac:dyDescent="0.25">
      <c r="A125" s="167"/>
      <c r="B125" s="245" t="s">
        <v>219</v>
      </c>
      <c r="C125" s="238"/>
      <c r="D125" s="318">
        <f>D124+40</f>
        <v>1916</v>
      </c>
      <c r="E125" s="244">
        <f>(1+E51)/(1+E87)-1</f>
        <v>-5.5414949471668029E-2</v>
      </c>
    </row>
    <row r="126" spans="1:5" x14ac:dyDescent="0.25">
      <c r="A126" s="167"/>
      <c r="B126" s="245" t="s">
        <v>220</v>
      </c>
      <c r="C126" s="238"/>
      <c r="D126" s="318">
        <f>D125+40</f>
        <v>1956</v>
      </c>
      <c r="E126" s="244">
        <f>(1+E10)/(1+E87)-1</f>
        <v>5.9434726586343967E-2</v>
      </c>
    </row>
    <row r="127" spans="1:5" ht="15.75" thickBot="1" x14ac:dyDescent="0.3">
      <c r="A127" s="167"/>
      <c r="B127" s="246" t="s">
        <v>221</v>
      </c>
      <c r="C127" s="247"/>
      <c r="D127" s="318">
        <f>D126+288</f>
        <v>2244</v>
      </c>
      <c r="E127" s="248">
        <f>'Demonstrativos Padrões'!C39/'Demonstrativos Padrões'!C34</f>
        <v>1.1768570339604392E-2</v>
      </c>
    </row>
    <row r="128" spans="1:5" x14ac:dyDescent="0.25">
      <c r="A128" s="167"/>
      <c r="B128" s="236"/>
      <c r="C128" s="163"/>
      <c r="E128" s="235"/>
    </row>
    <row r="129" spans="1:5" ht="15.75" thickBot="1" x14ac:dyDescent="0.3">
      <c r="A129" s="167"/>
      <c r="B129" s="98"/>
      <c r="C129" s="163"/>
      <c r="E129" s="163"/>
    </row>
    <row r="130" spans="1:5" ht="15.75" thickBot="1" x14ac:dyDescent="0.3">
      <c r="A130" s="168"/>
      <c r="B130" s="169" t="s">
        <v>169</v>
      </c>
      <c r="C130" s="101" t="str">
        <f>C119</f>
        <v> 31/12/2016</v>
      </c>
      <c r="E130" s="102" t="str">
        <f>E119</f>
        <v> 31/12/2017</v>
      </c>
    </row>
    <row r="131" spans="1:5" x14ac:dyDescent="0.25">
      <c r="A131" s="7"/>
      <c r="B131" s="87" t="s">
        <v>170</v>
      </c>
      <c r="C131" s="170">
        <f>'Demonstrativos Padrões'!D22+'Demonstrativos Padrões'!D28+'Demonstrativos Padrões'!D34</f>
        <v>3206251566</v>
      </c>
      <c r="E131" s="166">
        <f>'Demonstrativos Padrões'!C34+'Demonstrativos Padrões'!C28+'Demonstrativos Padrões'!C22</f>
        <v>3217405628</v>
      </c>
    </row>
    <row r="132" spans="1:5" ht="15.75" thickBot="1" x14ac:dyDescent="0.3">
      <c r="A132" s="7"/>
      <c r="B132" s="95" t="s">
        <v>171</v>
      </c>
      <c r="C132" s="171"/>
      <c r="E132" s="172">
        <f>(E131+C131)/2</f>
        <v>3211828597</v>
      </c>
    </row>
    <row r="133" spans="1:5" x14ac:dyDescent="0.25">
      <c r="A133" s="7"/>
      <c r="B133" s="98"/>
      <c r="C133" s="173"/>
      <c r="E133" s="174"/>
    </row>
    <row r="134" spans="1:5" ht="15.75" thickBot="1" x14ac:dyDescent="0.3">
      <c r="A134" s="8"/>
      <c r="B134" s="145"/>
      <c r="C134" s="175"/>
      <c r="E134" s="174"/>
    </row>
    <row r="135" spans="1:5" ht="15.75" thickBot="1" x14ac:dyDescent="0.3">
      <c r="A135" s="7"/>
      <c r="B135" s="221" t="s">
        <v>172</v>
      </c>
      <c r="C135" s="222" t="str">
        <f>C130</f>
        <v> 31/12/2016</v>
      </c>
      <c r="E135" s="223" t="str">
        <f>E130</f>
        <v> 31/12/2017</v>
      </c>
    </row>
    <row r="136" spans="1:5" x14ac:dyDescent="0.25">
      <c r="A136" s="7"/>
      <c r="B136" s="155" t="s">
        <v>173</v>
      </c>
      <c r="C136" s="176">
        <f>SUM(C137:C138)</f>
        <v>711829480</v>
      </c>
      <c r="E136" s="224">
        <f>SUM(E137:E138)</f>
        <v>772036291</v>
      </c>
    </row>
    <row r="137" spans="1:5" x14ac:dyDescent="0.25">
      <c r="A137" s="7"/>
      <c r="B137" s="116" t="s">
        <v>174</v>
      </c>
      <c r="C137" s="177">
        <f>'Demonstrativos Padrões'!D7</f>
        <v>414780573</v>
      </c>
      <c r="E137" s="187">
        <f>'Demonstrativos Padrões'!C7</f>
        <v>461227741</v>
      </c>
    </row>
    <row r="138" spans="1:5" x14ac:dyDescent="0.25">
      <c r="A138" s="7"/>
      <c r="B138" s="116" t="s">
        <v>175</v>
      </c>
      <c r="C138" s="177">
        <f>'Demonstrativos Padrões'!D8</f>
        <v>297048907</v>
      </c>
      <c r="E138" s="187">
        <f>'Demonstrativos Padrões'!C8</f>
        <v>310808550</v>
      </c>
    </row>
    <row r="139" spans="1:5" x14ac:dyDescent="0.25">
      <c r="A139" s="7"/>
      <c r="B139" s="116" t="s">
        <v>176</v>
      </c>
      <c r="C139" s="177">
        <f>SUM(C140:C141)</f>
        <v>760637568</v>
      </c>
      <c r="E139" s="187">
        <f>SUM(E140:E141)</f>
        <v>800097101</v>
      </c>
    </row>
    <row r="140" spans="1:5" x14ac:dyDescent="0.25">
      <c r="A140" s="7"/>
      <c r="B140" s="116" t="s">
        <v>177</v>
      </c>
      <c r="C140" s="177">
        <f>'Demonstrativos Padrões'!D20</f>
        <v>276325878</v>
      </c>
      <c r="E140" s="187">
        <f>'Demonstrativos Padrões'!C20</f>
        <v>306661701</v>
      </c>
    </row>
    <row r="141" spans="1:5" x14ac:dyDescent="0.25">
      <c r="A141" s="7"/>
      <c r="B141" s="116" t="s">
        <v>178</v>
      </c>
      <c r="C141" s="232">
        <f>-'Demonstrativos Padrões'!D50-'Demonstrativos Padrões'!D51</f>
        <v>484311690</v>
      </c>
      <c r="E141" s="187">
        <f>-'Demonstrativos Padrões'!C50-'Demonstrativos Padrões'!C51</f>
        <v>493435400</v>
      </c>
    </row>
    <row r="142" spans="1:5" x14ac:dyDescent="0.25">
      <c r="A142" s="7"/>
      <c r="B142" s="230" t="s">
        <v>179</v>
      </c>
      <c r="C142" s="233">
        <f>C136-C139</f>
        <v>-48808088</v>
      </c>
      <c r="E142" s="231">
        <f>E136-E139</f>
        <v>-28060810</v>
      </c>
    </row>
    <row r="143" spans="1:5" x14ac:dyDescent="0.25">
      <c r="A143" s="7"/>
      <c r="B143" s="116" t="s">
        <v>180</v>
      </c>
      <c r="C143" s="176">
        <f>'Demonstrativos Padrões'!D46</f>
        <v>2468059027</v>
      </c>
      <c r="E143" s="187">
        <f>'Demonstrativos Padrões'!C46</f>
        <v>2561713743</v>
      </c>
    </row>
    <row r="144" spans="1:5" ht="15.75" thickBot="1" x14ac:dyDescent="0.3">
      <c r="A144" s="7"/>
      <c r="B144" s="156" t="s">
        <v>181</v>
      </c>
      <c r="C144" s="225">
        <f>C142/(C143/360)</f>
        <v>-7.1193239253106411</v>
      </c>
      <c r="E144" s="226">
        <f>E142/(E143/360)</f>
        <v>-3.9434115648572678</v>
      </c>
    </row>
    <row r="145" spans="1:5" x14ac:dyDescent="0.25">
      <c r="A145" s="7"/>
      <c r="B145" s="98"/>
      <c r="C145" s="179"/>
      <c r="E145" s="179"/>
    </row>
    <row r="146" spans="1:5" ht="15.75" thickBot="1" x14ac:dyDescent="0.3">
      <c r="A146" s="8"/>
      <c r="B146" s="145"/>
      <c r="C146" s="179"/>
      <c r="E146" s="179"/>
    </row>
    <row r="147" spans="1:5" ht="15.75" thickBot="1" x14ac:dyDescent="0.3">
      <c r="A147" s="7"/>
      <c r="B147" s="126" t="s">
        <v>182</v>
      </c>
      <c r="C147" s="127" t="str">
        <f>C135</f>
        <v> 31/12/2016</v>
      </c>
      <c r="E147" s="128" t="str">
        <f>E135</f>
        <v> 31/12/2017</v>
      </c>
    </row>
    <row r="148" spans="1:5" x14ac:dyDescent="0.25">
      <c r="A148" s="7"/>
      <c r="B148" s="84" t="s">
        <v>183</v>
      </c>
      <c r="C148" s="103"/>
      <c r="E148" s="180">
        <f>('Demonstrativos Padrões'!C18+'Demonstrativos Padrões'!D18+'Demonstrativos Padrões'!C26+'Demonstrativos Padrões'!D26)/2</f>
        <v>2574794444.5</v>
      </c>
    </row>
    <row r="149" spans="1:5" x14ac:dyDescent="0.25">
      <c r="A149" s="7"/>
      <c r="B149" s="87" t="s">
        <v>184</v>
      </c>
      <c r="C149" s="104"/>
      <c r="E149" s="178">
        <f>('Demonstrativos Padrões'!D34+'Demonstrativos Padrões'!C34)/2</f>
        <v>1859403879.5</v>
      </c>
    </row>
    <row r="150" spans="1:5" ht="15.75" thickBot="1" x14ac:dyDescent="0.3">
      <c r="A150" s="7"/>
      <c r="B150" s="95" t="s">
        <v>185</v>
      </c>
      <c r="C150" s="137"/>
      <c r="E150" s="181">
        <f>E148/E149</f>
        <v>1.3847418911443656</v>
      </c>
    </row>
    <row r="151" spans="1:5" x14ac:dyDescent="0.25">
      <c r="A151" s="7"/>
      <c r="B151" s="98"/>
      <c r="C151" s="182"/>
      <c r="E151" s="183"/>
    </row>
    <row r="152" spans="1:5" ht="15.75" thickBot="1" x14ac:dyDescent="0.3">
      <c r="A152" s="8"/>
      <c r="B152" s="145"/>
      <c r="C152" s="182"/>
      <c r="E152" s="183"/>
    </row>
    <row r="153" spans="1:5" ht="15.75" thickBot="1" x14ac:dyDescent="0.3">
      <c r="A153" s="7"/>
      <c r="B153" s="158" t="s">
        <v>186</v>
      </c>
      <c r="C153" s="159" t="str">
        <f>C147</f>
        <v> 31/12/2016</v>
      </c>
      <c r="E153" s="160" t="str">
        <f>E147</f>
        <v> 31/12/2017</v>
      </c>
    </row>
    <row r="154" spans="1:5" x14ac:dyDescent="0.25">
      <c r="A154" s="7"/>
      <c r="B154" s="113" t="s">
        <v>187</v>
      </c>
      <c r="C154" s="184"/>
      <c r="E154" s="185">
        <f>('Demonstrativos Padrões'!D22+'Demonstrativos Padrões'!D28+'Demonstrativos Padrões'!C22+'Demonstrativos Padrões'!C28)/2</f>
        <v>1352424717.5</v>
      </c>
    </row>
    <row r="155" spans="1:5" x14ac:dyDescent="0.25">
      <c r="A155" s="7"/>
      <c r="B155" s="116" t="s">
        <v>184</v>
      </c>
      <c r="C155" s="186"/>
      <c r="E155" s="187">
        <f>E149</f>
        <v>1859403879.5</v>
      </c>
    </row>
    <row r="156" spans="1:5" x14ac:dyDescent="0.25">
      <c r="A156" s="7"/>
      <c r="B156" s="116" t="s">
        <v>136</v>
      </c>
      <c r="C156" s="188"/>
      <c r="E156" s="189">
        <f>E154/E155</f>
        <v>0.72734317294404682</v>
      </c>
    </row>
    <row r="157" spans="1:5" x14ac:dyDescent="0.25">
      <c r="A157" s="7"/>
      <c r="B157" s="116" t="s">
        <v>188</v>
      </c>
      <c r="C157" s="186"/>
      <c r="E157" s="187">
        <f>('Demonstrativos Padrões'!C3+'Demonstrativos Padrões'!D3)/2</f>
        <v>4434198324</v>
      </c>
    </row>
    <row r="158" spans="1:5" ht="15.75" thickBot="1" x14ac:dyDescent="0.3">
      <c r="A158" s="8"/>
      <c r="B158" s="190" t="s">
        <v>189</v>
      </c>
      <c r="C158" s="220"/>
      <c r="E158" s="220">
        <f>E90</f>
        <v>0.1011</v>
      </c>
    </row>
    <row r="159" spans="1:5" x14ac:dyDescent="0.25">
      <c r="A159" s="8"/>
      <c r="B159" s="191"/>
      <c r="C159" s="192"/>
      <c r="E159" s="192"/>
    </row>
    <row r="160" spans="1:5" ht="15.75" thickBot="1" x14ac:dyDescent="0.3">
      <c r="A160" s="8"/>
      <c r="B160" s="145"/>
      <c r="C160" s="182"/>
      <c r="E160" s="192"/>
    </row>
    <row r="161" spans="1:5" ht="15.75" thickBot="1" x14ac:dyDescent="0.3">
      <c r="A161" s="7"/>
      <c r="B161" s="126" t="s">
        <v>190</v>
      </c>
      <c r="C161" s="127" t="str">
        <f>C153</f>
        <v> 31/12/2016</v>
      </c>
      <c r="E161" s="128" t="str">
        <f>E153</f>
        <v> 31/12/2017</v>
      </c>
    </row>
    <row r="162" spans="1:5" x14ac:dyDescent="0.25">
      <c r="A162" s="7"/>
      <c r="B162" s="84" t="s">
        <v>187</v>
      </c>
      <c r="C162" s="193"/>
      <c r="E162" s="180">
        <f>E154</f>
        <v>1352424717.5</v>
      </c>
    </row>
    <row r="163" spans="1:5" x14ac:dyDescent="0.25">
      <c r="A163" s="7"/>
      <c r="B163" s="87" t="s">
        <v>191</v>
      </c>
      <c r="C163" s="186"/>
      <c r="E163" s="178">
        <f>E155</f>
        <v>1859403879.5</v>
      </c>
    </row>
    <row r="164" spans="1:5" x14ac:dyDescent="0.25">
      <c r="A164" s="7"/>
      <c r="B164" s="87" t="s">
        <v>171</v>
      </c>
      <c r="C164" s="186"/>
      <c r="E164" s="178">
        <f>E162+E163</f>
        <v>3211828597</v>
      </c>
    </row>
    <row r="165" spans="1:5" x14ac:dyDescent="0.25">
      <c r="A165" s="7"/>
      <c r="B165" s="87" t="s">
        <v>192</v>
      </c>
      <c r="C165" s="106"/>
      <c r="E165" s="91">
        <f>E162/E164</f>
        <v>0.4210762426000032</v>
      </c>
    </row>
    <row r="166" spans="1:5" x14ac:dyDescent="0.25">
      <c r="A166" s="7"/>
      <c r="B166" s="87" t="s">
        <v>193</v>
      </c>
      <c r="C166" s="106"/>
      <c r="E166" s="207">
        <v>5.2900000000000003E-2</v>
      </c>
    </row>
    <row r="167" spans="1:5" x14ac:dyDescent="0.25">
      <c r="A167" s="7"/>
      <c r="B167" s="87" t="s">
        <v>194</v>
      </c>
      <c r="C167" s="106"/>
      <c r="E167" s="91">
        <f>E163/E164</f>
        <v>0.5789237573999968</v>
      </c>
    </row>
    <row r="168" spans="1:5" x14ac:dyDescent="0.25">
      <c r="A168" s="7"/>
      <c r="B168" s="87" t="s">
        <v>195</v>
      </c>
      <c r="C168" s="106"/>
      <c r="E168" s="91">
        <f>E58</f>
        <v>0.11360000000000001</v>
      </c>
    </row>
    <row r="169" spans="1:5" x14ac:dyDescent="0.25">
      <c r="A169" s="7"/>
      <c r="B169" s="87" t="s">
        <v>148</v>
      </c>
      <c r="C169" s="106"/>
      <c r="E169" s="91">
        <f>(((E162/E164)*E166)+((E163/E164)*E168))</f>
        <v>8.8040672074179815E-2</v>
      </c>
    </row>
    <row r="170" spans="1:5" ht="15.75" thickBot="1" x14ac:dyDescent="0.3">
      <c r="A170" s="7"/>
      <c r="B170" s="95" t="s">
        <v>196</v>
      </c>
      <c r="C170" s="194"/>
      <c r="E170" s="195">
        <f>'Demonstrativos Padrões'!C63-(E168*E163)</f>
        <v>-74515971.711199999</v>
      </c>
    </row>
    <row r="171" spans="1:5" x14ac:dyDescent="0.25">
      <c r="A171" s="7"/>
      <c r="B171" s="98"/>
      <c r="C171" s="146"/>
      <c r="E171" s="146"/>
    </row>
    <row r="172" spans="1:5" ht="15.75" thickBot="1" x14ac:dyDescent="0.3">
      <c r="A172" s="7"/>
      <c r="B172" s="98"/>
      <c r="C172" s="146"/>
      <c r="E172" s="146"/>
    </row>
    <row r="173" spans="1:5" ht="15.75" thickBot="1" x14ac:dyDescent="0.3">
      <c r="A173" s="7"/>
      <c r="B173" s="282" t="s">
        <v>314</v>
      </c>
      <c r="C173" s="284" t="str">
        <f>C161</f>
        <v> 31/12/2016</v>
      </c>
      <c r="E173" s="285" t="str">
        <f>E161</f>
        <v> 31/12/2017</v>
      </c>
    </row>
    <row r="174" spans="1:5" x14ac:dyDescent="0.25">
      <c r="A174" s="7"/>
      <c r="B174" s="283" t="s">
        <v>187</v>
      </c>
      <c r="C174" s="286"/>
      <c r="E174" s="287">
        <f>E162</f>
        <v>1352424717.5</v>
      </c>
    </row>
    <row r="175" spans="1:5" x14ac:dyDescent="0.25">
      <c r="A175" s="7"/>
      <c r="B175" s="230" t="s">
        <v>311</v>
      </c>
      <c r="C175" s="286"/>
      <c r="E175" s="287">
        <f>('QTDE DE AÇÕES'!B2+'QTDE DE AÇÕES'!E2)/2</f>
        <v>1858740727.1567898</v>
      </c>
    </row>
    <row r="176" spans="1:5" x14ac:dyDescent="0.25">
      <c r="A176" s="7"/>
      <c r="B176" s="230" t="s">
        <v>171</v>
      </c>
      <c r="C176" s="286"/>
      <c r="E176" s="287">
        <f>E174+E175</f>
        <v>3211165444.6567898</v>
      </c>
    </row>
    <row r="177" spans="1:5" x14ac:dyDescent="0.25">
      <c r="A177" s="7"/>
      <c r="B177" s="230" t="s">
        <v>192</v>
      </c>
      <c r="C177" s="286"/>
      <c r="E177" s="288">
        <f>E174/E176</f>
        <v>0.42116320096504634</v>
      </c>
    </row>
    <row r="178" spans="1:5" x14ac:dyDescent="0.25">
      <c r="A178" s="7"/>
      <c r="B178" s="230" t="s">
        <v>193</v>
      </c>
      <c r="C178" s="286"/>
      <c r="E178" s="288">
        <f>E166</f>
        <v>5.2900000000000003E-2</v>
      </c>
    </row>
    <row r="179" spans="1:5" x14ac:dyDescent="0.25">
      <c r="A179" s="7"/>
      <c r="B179" s="230" t="s">
        <v>194</v>
      </c>
      <c r="C179" s="286"/>
      <c r="E179" s="288">
        <f>E175/E176</f>
        <v>0.57883679903495366</v>
      </c>
    </row>
    <row r="180" spans="1:5" x14ac:dyDescent="0.25">
      <c r="A180" s="7"/>
      <c r="B180" s="290" t="s">
        <v>195</v>
      </c>
      <c r="C180" s="291"/>
      <c r="E180" s="292">
        <f>E168</f>
        <v>0.11360000000000001</v>
      </c>
    </row>
    <row r="181" spans="1:5" x14ac:dyDescent="0.25">
      <c r="A181" s="7"/>
      <c r="B181" s="242" t="s">
        <v>312</v>
      </c>
      <c r="C181" s="286"/>
      <c r="E181" s="288">
        <f>E177*E178+E179*E180</f>
        <v>8.8035393701421688E-2</v>
      </c>
    </row>
    <row r="182" spans="1:5" ht="15.75" thickBot="1" x14ac:dyDescent="0.3">
      <c r="A182" s="7"/>
      <c r="B182" s="293" t="s">
        <v>313</v>
      </c>
      <c r="C182" s="289"/>
      <c r="E182" s="294">
        <f>'Demonstrativos Padrões'!C63-'INDICADORES FINANCEIROS'!E180*'INDICADORES FINANCEIROS'!E175</f>
        <v>-74440637.605011344</v>
      </c>
    </row>
    <row r="183" spans="1:5" x14ac:dyDescent="0.25">
      <c r="A183" s="7"/>
      <c r="B183" s="98"/>
      <c r="C183" s="182"/>
      <c r="E183" s="182"/>
    </row>
    <row r="184" spans="1:5" ht="15.75" thickBot="1" x14ac:dyDescent="0.3">
      <c r="A184" s="8"/>
      <c r="B184" s="145"/>
      <c r="C184" s="146"/>
      <c r="E184" s="146"/>
    </row>
    <row r="185" spans="1:5" x14ac:dyDescent="0.25">
      <c r="A185" s="7"/>
      <c r="B185" s="158" t="s">
        <v>197</v>
      </c>
      <c r="C185" s="159" t="str">
        <f>C161</f>
        <v> 31/12/2016</v>
      </c>
      <c r="E185" s="160" t="str">
        <f>E161</f>
        <v> 31/12/2017</v>
      </c>
    </row>
    <row r="186" spans="1:5" x14ac:dyDescent="0.25">
      <c r="A186" s="7"/>
      <c r="B186" s="87" t="s">
        <v>198</v>
      </c>
      <c r="C186" s="164"/>
      <c r="E186" s="165">
        <f>'Demonstrativos Padrões'!C12-'Demonstrativos Padrões'!C80</f>
        <v>2488940888</v>
      </c>
    </row>
    <row r="187" spans="1:5" x14ac:dyDescent="0.25">
      <c r="A187" s="7"/>
      <c r="B187" s="87" t="s">
        <v>199</v>
      </c>
      <c r="C187" s="164"/>
      <c r="E187" s="165">
        <f>E120</f>
        <v>159292865</v>
      </c>
    </row>
    <row r="188" spans="1:5" ht="15.75" thickBot="1" x14ac:dyDescent="0.3">
      <c r="A188" s="7"/>
      <c r="B188" s="95" t="s">
        <v>115</v>
      </c>
      <c r="C188" s="196"/>
      <c r="E188" s="234">
        <f>E186/E187</f>
        <v>15.624936421351954</v>
      </c>
    </row>
    <row r="190" spans="1:5" ht="15.75" thickBot="1" x14ac:dyDescent="0.3"/>
    <row r="191" spans="1:5" ht="15.75" thickBot="1" x14ac:dyDescent="0.3">
      <c r="C191" s="159" t="str">
        <f>C185</f>
        <v> 31/12/2016</v>
      </c>
      <c r="E191" s="160" t="str">
        <f>E185</f>
        <v> 31/12/2017</v>
      </c>
    </row>
    <row r="192" spans="1:5" x14ac:dyDescent="0.25">
      <c r="B192" s="322" t="s">
        <v>328</v>
      </c>
      <c r="C192" s="323"/>
      <c r="E192" s="324">
        <f>'Demonstrativos Padrões'!C103/'Demonstrativos Padrões'!C94</f>
        <v>0.16714551271390826</v>
      </c>
    </row>
    <row r="193" spans="2:5" x14ac:dyDescent="0.25">
      <c r="B193" s="270" t="s">
        <v>329</v>
      </c>
      <c r="C193" s="325"/>
      <c r="E193" s="326">
        <f>(E50-E58)*'Demonstrativos Padrões'!C34</f>
        <v>-76167044.367870435</v>
      </c>
    </row>
    <row r="194" spans="2:5" x14ac:dyDescent="0.25">
      <c r="B194" s="327" t="s">
        <v>330</v>
      </c>
      <c r="C194" s="328"/>
      <c r="E194" s="329">
        <f>5/6</f>
        <v>0.83333333333333337</v>
      </c>
    </row>
    <row r="195" spans="2:5" x14ac:dyDescent="0.25">
      <c r="B195" s="327" t="s">
        <v>331</v>
      </c>
      <c r="C195" s="328"/>
      <c r="E195" s="326">
        <f>E193/D59</f>
        <v>-56170.38670196935</v>
      </c>
    </row>
    <row r="196" spans="2:5" ht="15.75" thickBot="1" x14ac:dyDescent="0.3">
      <c r="B196" s="273" t="s">
        <v>332</v>
      </c>
      <c r="C196" s="330"/>
      <c r="E196" s="331">
        <f>IF(E195&gt;0,1,0)</f>
        <v>0</v>
      </c>
    </row>
  </sheetData>
  <phoneticPr fontId="29" type="noConversion"/>
  <conditionalFormatting sqref="E117:E118 C117:C118 C121:C129 E121:E129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9"/>
  <sheetViews>
    <sheetView tabSelected="1" workbookViewId="0">
      <selection activeCell="B74" sqref="B74:D74"/>
    </sheetView>
  </sheetViews>
  <sheetFormatPr defaultRowHeight="15" x14ac:dyDescent="0.25"/>
  <cols>
    <col min="1" max="1" width="53.140625" bestFit="1" customWidth="1"/>
    <col min="2" max="4" width="16.85546875" bestFit="1" customWidth="1"/>
  </cols>
  <sheetData>
    <row r="1" spans="1:4" x14ac:dyDescent="0.25">
      <c r="A1" s="14" t="s">
        <v>2</v>
      </c>
      <c r="B1" s="15">
        <v>2017</v>
      </c>
      <c r="C1" s="15">
        <v>2016</v>
      </c>
      <c r="D1" s="15">
        <v>2015</v>
      </c>
    </row>
    <row r="2" spans="1:4" x14ac:dyDescent="0.25">
      <c r="A2" s="16" t="s">
        <v>3</v>
      </c>
      <c r="B2" s="17">
        <f>'Demonstrativos Padrões'!C3</f>
        <v>4488881262</v>
      </c>
      <c r="C2" s="17">
        <f>'Demonstrativos Padrões'!D3</f>
        <v>4379515386</v>
      </c>
      <c r="D2" s="17">
        <f>'Demonstrativos Padrões'!E3</f>
        <v>4543960778</v>
      </c>
    </row>
    <row r="3" spans="1:4" x14ac:dyDescent="0.25">
      <c r="A3" s="18" t="s">
        <v>4</v>
      </c>
      <c r="B3" s="19">
        <f>'Demonstrativos Padrões'!C4</f>
        <v>1563330158</v>
      </c>
      <c r="C3" s="19">
        <f>'Demonstrativos Padrões'!D4</f>
        <v>1519388381</v>
      </c>
      <c r="D3" s="19">
        <f>'Demonstrativos Padrões'!E4</f>
        <v>1605399281</v>
      </c>
    </row>
    <row r="4" spans="1:4" x14ac:dyDescent="0.25">
      <c r="A4" s="20" t="s">
        <v>5</v>
      </c>
      <c r="B4" s="22">
        <f>'Demonstrativos Padrões'!C5</f>
        <v>324042003</v>
      </c>
      <c r="C4" s="22">
        <f>'Demonstrativos Padrões'!D5</f>
        <v>368691957</v>
      </c>
      <c r="D4" s="22">
        <f>'Demonstrativos Padrões'!E5</f>
        <v>527560303</v>
      </c>
    </row>
    <row r="5" spans="1:4" x14ac:dyDescent="0.25">
      <c r="A5" s="20" t="s">
        <v>63</v>
      </c>
      <c r="B5" s="22">
        <f>'Demonstrativos Padrões'!C6</f>
        <v>207012456</v>
      </c>
      <c r="C5" s="22">
        <f>'Demonstrativos Padrões'!D6</f>
        <v>205316332</v>
      </c>
      <c r="D5" s="22">
        <f>'Demonstrativos Padrões'!E6</f>
        <v>160874311</v>
      </c>
    </row>
    <row r="6" spans="1:4" x14ac:dyDescent="0.25">
      <c r="A6" s="23" t="s">
        <v>6</v>
      </c>
      <c r="B6" s="21">
        <f>'Demonstrativos Padrões'!C7</f>
        <v>461227741</v>
      </c>
      <c r="C6" s="21">
        <f>'Demonstrativos Padrões'!D7</f>
        <v>414780573</v>
      </c>
      <c r="D6" s="21">
        <f>'Demonstrativos Padrões'!E7</f>
        <v>401274422</v>
      </c>
    </row>
    <row r="7" spans="1:4" x14ac:dyDescent="0.25">
      <c r="A7" s="23" t="s">
        <v>7</v>
      </c>
      <c r="B7" s="21">
        <f>'Demonstrativos Padrões'!C8</f>
        <v>310808550</v>
      </c>
      <c r="C7" s="21">
        <f>'Demonstrativos Padrões'!D8</f>
        <v>297048907</v>
      </c>
      <c r="D7" s="21">
        <f>'Demonstrativos Padrões'!E8</f>
        <v>328183831</v>
      </c>
    </row>
    <row r="8" spans="1:4" x14ac:dyDescent="0.25">
      <c r="A8" s="23" t="s">
        <v>8</v>
      </c>
      <c r="B8" s="21">
        <f>'Demonstrativos Padrões'!C9</f>
        <v>260239408</v>
      </c>
      <c r="C8" s="21">
        <f>'Demonstrativos Padrões'!D9</f>
        <v>233550612</v>
      </c>
      <c r="D8" s="21">
        <f>'Demonstrativos Padrões'!E9</f>
        <v>187506414</v>
      </c>
    </row>
    <row r="9" spans="1:4" x14ac:dyDescent="0.25">
      <c r="A9" s="18" t="s">
        <v>9</v>
      </c>
      <c r="B9" s="24">
        <f>'Demonstrativos Padrões'!C10</f>
        <v>2925551104</v>
      </c>
      <c r="C9" s="24">
        <f>'Demonstrativos Padrões'!D10</f>
        <v>2860127005</v>
      </c>
      <c r="D9" s="24">
        <f>'Demonstrativos Padrões'!E10</f>
        <v>2938561497</v>
      </c>
    </row>
    <row r="10" spans="1:4" x14ac:dyDescent="0.25">
      <c r="A10" s="23" t="s">
        <v>10</v>
      </c>
      <c r="B10" s="25">
        <f>'Demonstrativos Padrões'!C11</f>
        <v>595903081</v>
      </c>
      <c r="C10" s="25">
        <f>'Demonstrativos Padrões'!D11</f>
        <v>578998111</v>
      </c>
      <c r="D10" s="25">
        <f>'Demonstrativos Padrões'!E11</f>
        <v>565963961</v>
      </c>
    </row>
    <row r="11" spans="1:4" x14ac:dyDescent="0.25">
      <c r="A11" s="23" t="s">
        <v>11</v>
      </c>
      <c r="B11" s="26">
        <f>'Demonstrativos Padrões'!C12</f>
        <v>2329648023</v>
      </c>
      <c r="C11" s="26">
        <f>'Demonstrativos Padrões'!D12</f>
        <v>2281128894</v>
      </c>
      <c r="D11" s="26">
        <f>'Demonstrativos Padrões'!E12</f>
        <v>2372597536</v>
      </c>
    </row>
    <row r="12" spans="1:4" x14ac:dyDescent="0.25">
      <c r="A12" s="23" t="s">
        <v>12</v>
      </c>
      <c r="B12" s="25">
        <f>'Demonstrativos Padrões'!C13</f>
        <v>207068376</v>
      </c>
      <c r="C12" s="25">
        <f>'Demonstrativos Padrões'!D13</f>
        <v>199426626</v>
      </c>
      <c r="D12" s="25">
        <f>'Demonstrativos Padrões'!E13</f>
        <v>123389179</v>
      </c>
    </row>
    <row r="13" spans="1:4" x14ac:dyDescent="0.25">
      <c r="A13" s="23" t="s">
        <v>13</v>
      </c>
      <c r="B13" s="25">
        <f>'Demonstrativos Padrões'!C14</f>
        <v>1594030251</v>
      </c>
      <c r="C13" s="25">
        <f>'Demonstrativos Padrões'!D14</f>
        <v>1566334659</v>
      </c>
      <c r="D13" s="25">
        <f>'Demonstrativos Padrões'!E14</f>
        <v>1743502913</v>
      </c>
    </row>
    <row r="14" spans="1:4" x14ac:dyDescent="0.25">
      <c r="A14" s="23" t="s">
        <v>14</v>
      </c>
      <c r="B14" s="25">
        <f>'Demonstrativos Padrões'!C15</f>
        <v>528549396</v>
      </c>
      <c r="C14" s="25">
        <f>'Demonstrativos Padrões'!D15</f>
        <v>515367609</v>
      </c>
      <c r="D14" s="25">
        <f>'Demonstrativos Padrões'!E15</f>
        <v>505705444</v>
      </c>
    </row>
    <row r="15" spans="1:4" x14ac:dyDescent="0.25">
      <c r="A15" s="42"/>
      <c r="B15" s="15">
        <v>2017</v>
      </c>
      <c r="C15" s="15">
        <v>2016</v>
      </c>
      <c r="D15" s="15">
        <v>2015</v>
      </c>
    </row>
    <row r="16" spans="1:4" x14ac:dyDescent="0.25">
      <c r="A16" s="16" t="s">
        <v>15</v>
      </c>
      <c r="B16" s="27">
        <f>'Demonstrativos Padrões'!C17</f>
        <v>4488881262</v>
      </c>
      <c r="C16" s="27">
        <f>'Demonstrativos Padrões'!D17</f>
        <v>4379515386</v>
      </c>
      <c r="D16" s="27">
        <f>'Demonstrativos Padrões'!E17</f>
        <v>4543960778</v>
      </c>
    </row>
    <row r="17" spans="1:4" x14ac:dyDescent="0.25">
      <c r="A17" s="18" t="s">
        <v>16</v>
      </c>
      <c r="B17" s="28">
        <f>'Demonstrativos Padrões'!C18</f>
        <v>984163528</v>
      </c>
      <c r="C17" s="28">
        <f>'Demonstrativos Padrões'!D18</f>
        <v>997011991</v>
      </c>
      <c r="D17" s="28">
        <f>'Demonstrativos Padrões'!E18</f>
        <v>980487473</v>
      </c>
    </row>
    <row r="18" spans="1:4" x14ac:dyDescent="0.25">
      <c r="A18" s="23" t="s">
        <v>64</v>
      </c>
      <c r="B18" s="29">
        <f>'Demonstrativos Padrões'!C19</f>
        <v>41307009</v>
      </c>
      <c r="C18" s="29">
        <f>'Demonstrativos Padrões'!D19</f>
        <v>44538592</v>
      </c>
      <c r="D18" s="29">
        <f>'Demonstrativos Padrões'!E19</f>
        <v>37901593</v>
      </c>
    </row>
    <row r="19" spans="1:4" x14ac:dyDescent="0.25">
      <c r="A19" s="20" t="s">
        <v>18</v>
      </c>
      <c r="B19" s="30">
        <f>'Demonstrativos Padrões'!C20</f>
        <v>306661701</v>
      </c>
      <c r="C19" s="30">
        <f>'Demonstrativos Padrões'!D20</f>
        <v>276325878</v>
      </c>
      <c r="D19" s="30">
        <f>'Demonstrativos Padrões'!E20</f>
        <v>267569075</v>
      </c>
    </row>
    <row r="20" spans="1:4" x14ac:dyDescent="0.25">
      <c r="A20" s="20" t="s">
        <v>65</v>
      </c>
      <c r="B20" s="30">
        <f>'Demonstrativos Padrões'!C21</f>
        <v>64639621</v>
      </c>
      <c r="C20" s="30">
        <f>'Demonstrativos Padrões'!D21</f>
        <v>56812166</v>
      </c>
      <c r="D20" s="30">
        <f>'Demonstrativos Padrões'!E21</f>
        <v>54954951</v>
      </c>
    </row>
    <row r="21" spans="1:4" x14ac:dyDescent="0.25">
      <c r="A21" s="20" t="s">
        <v>17</v>
      </c>
      <c r="B21" s="30">
        <f>'Demonstrativos Padrões'!C22</f>
        <v>295149097</v>
      </c>
      <c r="C21" s="30">
        <f>'Demonstrativos Padrões'!D22</f>
        <v>357635467</v>
      </c>
      <c r="D21" s="30">
        <f>'Demonstrativos Padrões'!E22</f>
        <v>402007773</v>
      </c>
    </row>
    <row r="22" spans="1:4" x14ac:dyDescent="0.25">
      <c r="A22" s="20" t="s">
        <v>19</v>
      </c>
      <c r="B22" s="30">
        <f>'Demonstrativos Padrões'!C23</f>
        <v>203986710</v>
      </c>
      <c r="C22" s="30">
        <f>'Demonstrativos Padrões'!D23</f>
        <v>205262821</v>
      </c>
      <c r="D22" s="30">
        <f>'Demonstrativos Padrões'!E23</f>
        <v>179486803</v>
      </c>
    </row>
    <row r="23" spans="1:4" x14ac:dyDescent="0.25">
      <c r="A23" s="20" t="s">
        <v>66</v>
      </c>
      <c r="B23" s="30">
        <f>'Demonstrativos Padrões'!C24</f>
        <v>41580462</v>
      </c>
      <c r="C23" s="30">
        <f>'Demonstrativos Padrões'!D24</f>
        <v>28621528</v>
      </c>
      <c r="D23" s="30">
        <f>'Demonstrativos Padrões'!E24</f>
        <v>30343347</v>
      </c>
    </row>
    <row r="24" spans="1:4" x14ac:dyDescent="0.25">
      <c r="A24" s="20" t="s">
        <v>224</v>
      </c>
      <c r="B24" s="30">
        <f>'Demonstrativos Padrões'!C25</f>
        <v>30838928</v>
      </c>
      <c r="C24" s="30">
        <f>'Demonstrativos Padrões'!D25</f>
        <v>27815539</v>
      </c>
      <c r="D24" s="30">
        <f>'Demonstrativos Padrões'!E25</f>
        <v>8223931</v>
      </c>
    </row>
    <row r="25" spans="1:4" x14ac:dyDescent="0.25">
      <c r="A25" s="34" t="s">
        <v>20</v>
      </c>
      <c r="B25" s="28">
        <f>'Demonstrativos Padrões'!C26</f>
        <v>1604114487</v>
      </c>
      <c r="C25" s="28">
        <f>'Demonstrativos Padrões'!D26</f>
        <v>1564298883</v>
      </c>
      <c r="D25" s="28">
        <f>'Demonstrativos Padrões'!E26</f>
        <v>1780373134</v>
      </c>
    </row>
    <row r="26" spans="1:4" x14ac:dyDescent="0.25">
      <c r="A26" s="20" t="s">
        <v>21</v>
      </c>
      <c r="B26" s="29">
        <f>'Demonstrativos Padrões'!C27</f>
        <v>1604114487</v>
      </c>
      <c r="C26" s="29">
        <f>'Demonstrativos Padrões'!D27</f>
        <v>1564298883</v>
      </c>
      <c r="D26" s="29">
        <f>'Demonstrativos Padrões'!E27</f>
        <v>1780373134</v>
      </c>
    </row>
    <row r="27" spans="1:4" x14ac:dyDescent="0.25">
      <c r="A27" s="20" t="s">
        <v>22</v>
      </c>
      <c r="B27" s="30">
        <f>'Demonstrativos Padrões'!C28</f>
        <v>1021653284</v>
      </c>
      <c r="C27" s="30">
        <f>'Demonstrativos Padrões'!D28</f>
        <v>1030411587</v>
      </c>
      <c r="D27" s="30">
        <f>'Demonstrativos Padrões'!E28</f>
        <v>1255431939</v>
      </c>
    </row>
    <row r="28" spans="1:4" x14ac:dyDescent="0.25">
      <c r="A28" s="20" t="s">
        <v>67</v>
      </c>
      <c r="B28" s="30">
        <f>'Demonstrativos Padrões'!C29</f>
        <v>77457394</v>
      </c>
      <c r="C28" s="30">
        <f>'Demonstrativos Padrões'!D29</f>
        <v>66458951</v>
      </c>
      <c r="D28" s="30">
        <f>'Demonstrativos Padrões'!E29</f>
        <v>62281023</v>
      </c>
    </row>
    <row r="29" spans="1:4" x14ac:dyDescent="0.25">
      <c r="A29" s="20" t="s">
        <v>23</v>
      </c>
      <c r="B29" s="30">
        <f>'Demonstrativos Padrões'!C30</f>
        <v>294315327</v>
      </c>
      <c r="C29" s="30">
        <f>'Demonstrativos Padrões'!D30</f>
        <v>262274283</v>
      </c>
      <c r="D29" s="30">
        <f>'Demonstrativos Padrões'!E30</f>
        <v>223351634</v>
      </c>
    </row>
    <row r="30" spans="1:4" x14ac:dyDescent="0.25">
      <c r="A30" s="20" t="s">
        <v>24</v>
      </c>
      <c r="B30" s="30">
        <f>'Demonstrativos Padrões'!C31</f>
        <v>208825164</v>
      </c>
      <c r="C30" s="30">
        <f>'Demonstrativos Padrões'!D31</f>
        <v>202558971</v>
      </c>
      <c r="D30" s="30">
        <f>'Demonstrativos Padrões'!E31</f>
        <v>236090413</v>
      </c>
    </row>
    <row r="31" spans="1:4" x14ac:dyDescent="0.25">
      <c r="A31" s="20" t="s">
        <v>225</v>
      </c>
      <c r="B31" s="30">
        <f>'Demonstrativos Padrões'!C32</f>
        <v>7297</v>
      </c>
      <c r="C31" s="30">
        <f>'Demonstrativos Padrões'!D32</f>
        <v>580733</v>
      </c>
      <c r="D31" s="30">
        <f>'Demonstrativos Padrões'!E32</f>
        <v>583251</v>
      </c>
    </row>
    <row r="32" spans="1:4" x14ac:dyDescent="0.25">
      <c r="A32" s="20" t="s">
        <v>226</v>
      </c>
      <c r="B32" s="30">
        <f>'Demonstrativos Padrões'!C33</f>
        <v>1856021</v>
      </c>
      <c r="C32" s="30">
        <f>'Demonstrativos Padrões'!D33</f>
        <v>2014358</v>
      </c>
      <c r="D32" s="30">
        <f>'Demonstrativos Padrões'!E33</f>
        <v>2634874</v>
      </c>
    </row>
    <row r="33" spans="1:4" x14ac:dyDescent="0.25">
      <c r="A33" s="34" t="s">
        <v>25</v>
      </c>
      <c r="B33" s="28">
        <f>'Demonstrativos Padrões'!C34</f>
        <v>1900603247</v>
      </c>
      <c r="C33" s="28">
        <f>'Demonstrativos Padrões'!D34</f>
        <v>1818204512</v>
      </c>
      <c r="D33" s="28">
        <f>'Demonstrativos Padrões'!E34</f>
        <v>1783100171</v>
      </c>
    </row>
    <row r="34" spans="1:4" x14ac:dyDescent="0.25">
      <c r="A34" s="20" t="s">
        <v>26</v>
      </c>
      <c r="B34" s="30">
        <f>'Demonstrativos Padrões'!C35</f>
        <v>1216284118</v>
      </c>
      <c r="C34" s="30">
        <f>'Demonstrativos Padrões'!D35</f>
        <v>1180798718</v>
      </c>
      <c r="D34" s="30">
        <f>'Demonstrativos Padrões'!E35</f>
        <v>1141102304</v>
      </c>
    </row>
    <row r="35" spans="1:4" x14ac:dyDescent="0.25">
      <c r="A35" s="20" t="s">
        <v>27</v>
      </c>
      <c r="B35" s="30">
        <f>'Demonstrativos Padrões'!C36</f>
        <v>117440577</v>
      </c>
      <c r="C35" s="30">
        <f>'Demonstrativos Padrões'!D36</f>
        <v>106494351</v>
      </c>
      <c r="D35" s="30">
        <f>'Demonstrativos Padrões'!E36</f>
        <v>129953305</v>
      </c>
    </row>
    <row r="36" spans="1:4" x14ac:dyDescent="0.25">
      <c r="A36" s="23" t="s">
        <v>28</v>
      </c>
      <c r="B36" s="30">
        <f>'Demonstrativos Padrões'!C37</f>
        <v>1608316</v>
      </c>
      <c r="C36" s="30">
        <f>'Demonstrativos Padrões'!D37</f>
        <v>979752</v>
      </c>
      <c r="D36" s="30">
        <f>'Demonstrativos Padrões'!E37</f>
        <v>1688702</v>
      </c>
    </row>
    <row r="37" spans="1:4" x14ac:dyDescent="0.25">
      <c r="A37" s="23" t="s">
        <v>29</v>
      </c>
      <c r="B37" s="30">
        <f>'Demonstrativos Padrões'!C38</f>
        <v>597537696</v>
      </c>
      <c r="C37" s="30">
        <f>'Demonstrativos Padrões'!D38</f>
        <v>545982407</v>
      </c>
      <c r="D37" s="30">
        <f>'Demonstrativos Padrões'!E38</f>
        <v>507311081</v>
      </c>
    </row>
    <row r="38" spans="1:4" x14ac:dyDescent="0.25">
      <c r="A38" s="23" t="s">
        <v>30</v>
      </c>
      <c r="B38" s="30">
        <f>'Demonstrativos Padrões'!C39</f>
        <v>22367383</v>
      </c>
      <c r="C38" s="30">
        <f>'Demonstrativos Padrões'!D39</f>
        <v>24417776</v>
      </c>
      <c r="D38" s="30">
        <f>'Demonstrativos Padrões'!E39</f>
        <v>33776354</v>
      </c>
    </row>
    <row r="39" spans="1:4" x14ac:dyDescent="0.25">
      <c r="A39" s="23" t="s">
        <v>31</v>
      </c>
      <c r="B39" s="30">
        <f>'Demonstrativos Padrões'!C40</f>
        <v>-170056512</v>
      </c>
      <c r="C39" s="30">
        <f>'Demonstrativos Padrões'!D40</f>
        <v>-129151436</v>
      </c>
      <c r="D39" s="30">
        <f>'Demonstrativos Padrões'!E40</f>
        <v>-143681171</v>
      </c>
    </row>
    <row r="40" spans="1:4" x14ac:dyDescent="0.25">
      <c r="A40" s="23" t="s">
        <v>68</v>
      </c>
      <c r="B40" s="30">
        <f>'Demonstrativos Padrões'!C41</f>
        <v>76792743</v>
      </c>
      <c r="C40" s="30">
        <f>'Demonstrativos Padrões'!D41</f>
        <v>72140531</v>
      </c>
      <c r="D40" s="30">
        <f>'Demonstrativos Padrões'!E41</f>
        <v>81715489</v>
      </c>
    </row>
    <row r="41" spans="1:4" x14ac:dyDescent="0.25">
      <c r="A41" s="20" t="s">
        <v>223</v>
      </c>
      <c r="B41" s="30">
        <f>'Demonstrativos Padrões'!C42</f>
        <v>50596741</v>
      </c>
      <c r="C41" s="30">
        <f>'Demonstrativos Padrões'!D42</f>
        <v>42490399</v>
      </c>
      <c r="D41" s="30">
        <f>'Demonstrativos Padrões'!E42</f>
        <v>64306820</v>
      </c>
    </row>
    <row r="42" spans="1:4" x14ac:dyDescent="0.25">
      <c r="A42" s="23" t="s">
        <v>85</v>
      </c>
      <c r="B42" s="30">
        <f>'Demonstrativos Padrões'!C43</f>
        <v>-11967815</v>
      </c>
      <c r="C42" s="30">
        <f>'Demonstrativos Padrões'!D43</f>
        <v>-25947986</v>
      </c>
      <c r="D42" s="30">
        <f>'Demonstrativos Padrões'!E43</f>
        <v>-33072713</v>
      </c>
    </row>
    <row r="43" spans="1:4" x14ac:dyDescent="0.25">
      <c r="A43" s="4"/>
      <c r="B43" s="5"/>
      <c r="C43" s="5"/>
      <c r="D43" s="6" t="s">
        <v>1</v>
      </c>
    </row>
    <row r="44" spans="1:4" x14ac:dyDescent="0.25">
      <c r="A44" s="14" t="s">
        <v>32</v>
      </c>
      <c r="B44" s="15">
        <v>2017</v>
      </c>
      <c r="C44" s="15">
        <v>2016</v>
      </c>
      <c r="D44" s="15">
        <v>2015</v>
      </c>
    </row>
    <row r="45" spans="1:4" x14ac:dyDescent="0.25">
      <c r="A45" s="18" t="s">
        <v>69</v>
      </c>
      <c r="B45" s="24">
        <f>'Demonstrativos Padrões'!C46</f>
        <v>2561713743</v>
      </c>
      <c r="C45" s="24">
        <f>'Demonstrativos Padrões'!D46</f>
        <v>2468059027</v>
      </c>
      <c r="D45" s="24">
        <f>'Demonstrativos Padrões'!E46</f>
        <v>2363171365</v>
      </c>
    </row>
    <row r="46" spans="1:4" x14ac:dyDescent="0.25">
      <c r="A46" s="31" t="s">
        <v>70</v>
      </c>
      <c r="B46" s="32">
        <f>'Demonstrativos Padrões'!C47</f>
        <v>-1744323131</v>
      </c>
      <c r="C46" s="32">
        <f>'Demonstrativos Padrões'!D47</f>
        <v>-1695387460</v>
      </c>
      <c r="D46" s="32">
        <f>'Demonstrativos Padrões'!E47</f>
        <v>-1659602807</v>
      </c>
    </row>
    <row r="47" spans="1:4" x14ac:dyDescent="0.25">
      <c r="A47" s="18" t="s">
        <v>33</v>
      </c>
      <c r="B47" s="24">
        <f>'Demonstrativos Padrões'!C48</f>
        <v>817390612</v>
      </c>
      <c r="C47" s="24">
        <f>'Demonstrativos Padrões'!D48</f>
        <v>772671567</v>
      </c>
      <c r="D47" s="24">
        <f>'Demonstrativos Padrões'!E48</f>
        <v>703568558</v>
      </c>
    </row>
    <row r="48" spans="1:4" x14ac:dyDescent="0.25">
      <c r="A48" s="31" t="s">
        <v>34</v>
      </c>
      <c r="B48" s="32">
        <f>'Demonstrativos Padrões'!C49</f>
        <v>-522859305</v>
      </c>
      <c r="C48" s="32">
        <f>'Demonstrativos Padrões'!D49</f>
        <v>-554583595</v>
      </c>
      <c r="D48" s="32">
        <f>'Demonstrativos Padrões'!E49</f>
        <v>-596627732</v>
      </c>
    </row>
    <row r="49" spans="1:4" x14ac:dyDescent="0.25">
      <c r="A49" s="31" t="s">
        <v>35</v>
      </c>
      <c r="B49" s="32">
        <f>'Demonstrativos Padrões'!C50</f>
        <v>-314731805</v>
      </c>
      <c r="C49" s="32">
        <f>'Demonstrativos Padrões'!D50</f>
        <v>-303180880</v>
      </c>
      <c r="D49" s="32">
        <f>'Demonstrativos Padrões'!E50</f>
        <v>-283507999</v>
      </c>
    </row>
    <row r="50" spans="1:4" x14ac:dyDescent="0.25">
      <c r="A50" s="257" t="s">
        <v>36</v>
      </c>
      <c r="B50" s="32">
        <f>'Demonstrativos Padrões'!C51</f>
        <v>-178703595</v>
      </c>
      <c r="C50" s="32">
        <f>'Demonstrativos Padrões'!D51</f>
        <v>-181130810</v>
      </c>
      <c r="D50" s="32">
        <f>'Demonstrativos Padrões'!E51</f>
        <v>-167720820</v>
      </c>
    </row>
    <row r="51" spans="1:4" x14ac:dyDescent="0.25">
      <c r="A51" s="257" t="s">
        <v>222</v>
      </c>
      <c r="B51" s="32">
        <f>'Demonstrativos Padrões'!C52</f>
        <v>-4972206</v>
      </c>
      <c r="C51" s="32">
        <f>'Demonstrativos Padrões'!D52</f>
        <v>-7758096</v>
      </c>
      <c r="D51" s="32">
        <f>'Demonstrativos Padrões'!E52</f>
        <v>-40790531</v>
      </c>
    </row>
    <row r="52" spans="1:4" x14ac:dyDescent="0.25">
      <c r="A52" s="257" t="s">
        <v>71</v>
      </c>
      <c r="B52" s="32">
        <f>'Demonstrativos Padrões'!C53</f>
        <v>51329706</v>
      </c>
      <c r="C52" s="32">
        <f>'Demonstrativos Padrões'!D53</f>
        <v>27616515</v>
      </c>
      <c r="D52" s="32">
        <f>'Demonstrativos Padrões'!E53</f>
        <v>27968715</v>
      </c>
    </row>
    <row r="53" spans="1:4" x14ac:dyDescent="0.25">
      <c r="A53" s="31" t="s">
        <v>72</v>
      </c>
      <c r="B53" s="32">
        <f>'Demonstrativos Padrões'!C54</f>
        <v>-87004431</v>
      </c>
      <c r="C53" s="32">
        <f>'Demonstrativos Padrões'!D54</f>
        <v>-103874423</v>
      </c>
      <c r="D53" s="32">
        <f>'Demonstrativos Padrões'!E54</f>
        <v>-134262768</v>
      </c>
    </row>
    <row r="54" spans="1:4" x14ac:dyDescent="0.25">
      <c r="A54" s="31" t="s">
        <v>86</v>
      </c>
      <c r="B54" s="32">
        <f>'Demonstrativos Padrões'!C55</f>
        <v>11223026</v>
      </c>
      <c r="C54" s="32">
        <f>'Demonstrativos Padrões'!D55</f>
        <v>13744099</v>
      </c>
      <c r="D54" s="32">
        <f>'Demonstrativos Padrões'!E55</f>
        <v>1685671</v>
      </c>
    </row>
    <row r="55" spans="1:4" x14ac:dyDescent="0.25">
      <c r="A55" s="18" t="s">
        <v>38</v>
      </c>
      <c r="B55" s="24">
        <f>'Demonstrativos Padrões'!C56</f>
        <v>294531307</v>
      </c>
      <c r="C55" s="24">
        <f>'Demonstrativos Padrões'!D56</f>
        <v>218087972</v>
      </c>
      <c r="D55" s="24">
        <f>'Demonstrativos Padrões'!E56</f>
        <v>106940826</v>
      </c>
    </row>
    <row r="56" spans="1:4" x14ac:dyDescent="0.25">
      <c r="A56" s="31" t="s">
        <v>37</v>
      </c>
      <c r="B56" s="32">
        <f>'Demonstrativos Padrões'!C57</f>
        <v>135900689</v>
      </c>
      <c r="C56" s="32">
        <f>'Demonstrativos Padrões'!D57</f>
        <v>202111890</v>
      </c>
      <c r="D56" s="32">
        <f>'Demonstrativos Padrões'!E57</f>
        <v>218209300</v>
      </c>
    </row>
    <row r="57" spans="1:4" x14ac:dyDescent="0.25">
      <c r="A57" s="31" t="s">
        <v>39</v>
      </c>
      <c r="B57" s="32">
        <f>'Demonstrativos Padrões'!C58</f>
        <v>-234795116</v>
      </c>
      <c r="C57" s="32">
        <f>'Demonstrativos Padrões'!D58</f>
        <v>-253420589</v>
      </c>
      <c r="D57" s="32">
        <f>'Demonstrativos Padrões'!E58</f>
        <v>-344386276</v>
      </c>
    </row>
    <row r="58" spans="1:4" x14ac:dyDescent="0.25">
      <c r="A58" s="34" t="s">
        <v>40</v>
      </c>
      <c r="B58" s="24">
        <f>'Demonstrativos Padrões'!C59</f>
        <v>195636880</v>
      </c>
      <c r="C58" s="24">
        <f>'Demonstrativos Padrões'!D59</f>
        <v>166779273</v>
      </c>
      <c r="D58" s="24">
        <f>'Demonstrativos Padrões'!E59</f>
        <v>-19236150</v>
      </c>
    </row>
    <row r="59" spans="1:4" x14ac:dyDescent="0.25">
      <c r="A59" s="257" t="s">
        <v>41</v>
      </c>
      <c r="B59" s="32">
        <f>'Demonstrativos Padrões'!C60</f>
        <v>-56682434</v>
      </c>
      <c r="C59" s="32">
        <f>'Demonstrativos Padrões'!D60</f>
        <v>-59728073</v>
      </c>
      <c r="D59" s="32">
        <f>'Demonstrativos Padrões'!E60</f>
        <v>-6464854</v>
      </c>
    </row>
    <row r="60" spans="1:4" x14ac:dyDescent="0.25">
      <c r="A60" s="34" t="s">
        <v>228</v>
      </c>
      <c r="B60" s="24">
        <f>'Demonstrativos Padrões'!C61</f>
        <v>138954446</v>
      </c>
      <c r="C60" s="24">
        <f>'Demonstrativos Padrões'!D61</f>
        <v>107051200</v>
      </c>
      <c r="D60" s="24">
        <f>'Demonstrativos Padrões'!E61</f>
        <v>-25701004</v>
      </c>
    </row>
    <row r="61" spans="1:4" x14ac:dyDescent="0.25">
      <c r="A61" s="257" t="s">
        <v>227</v>
      </c>
      <c r="B61" s="32">
        <f>'Demonstrativos Padrões'!C62</f>
        <v>-2242137</v>
      </c>
      <c r="C61" s="32">
        <f>'Demonstrativos Padrões'!D62</f>
        <v>-5292281</v>
      </c>
      <c r="D61" s="32">
        <f>'Demonstrativos Padrões'!E62</f>
        <v>1658518</v>
      </c>
    </row>
    <row r="62" spans="1:4" x14ac:dyDescent="0.25">
      <c r="A62" s="34" t="s">
        <v>42</v>
      </c>
      <c r="B62" s="24">
        <f>'Demonstrativos Padrões'!C63</f>
        <v>136712309</v>
      </c>
      <c r="C62" s="24">
        <f>'Demonstrativos Padrões'!D63</f>
        <v>101758919</v>
      </c>
      <c r="D62" s="24">
        <f>'Demonstrativos Padrões'!E63</f>
        <v>-24042486</v>
      </c>
    </row>
    <row r="63" spans="1:4" x14ac:dyDescent="0.25">
      <c r="A63" s="10"/>
      <c r="B63" s="11"/>
      <c r="C63" s="11"/>
      <c r="D63" s="6" t="s">
        <v>1</v>
      </c>
    </row>
    <row r="64" spans="1:4" x14ac:dyDescent="0.25">
      <c r="A64" s="14" t="s">
        <v>43</v>
      </c>
      <c r="B64" s="15">
        <v>2017</v>
      </c>
      <c r="C64" s="15">
        <v>2016</v>
      </c>
      <c r="D64" s="15">
        <v>2015</v>
      </c>
    </row>
    <row r="65" spans="1:4" x14ac:dyDescent="0.25">
      <c r="A65" s="18" t="s">
        <v>44</v>
      </c>
      <c r="B65" s="33">
        <f>'Demonstrativos Padrões'!C66</f>
        <v>318215001</v>
      </c>
      <c r="C65" s="33">
        <f>'Demonstrativos Padrões'!D66</f>
        <v>343984636</v>
      </c>
      <c r="D65" s="33">
        <f>'Demonstrativos Padrões'!E66</f>
        <v>424087859</v>
      </c>
    </row>
    <row r="66" spans="1:4" x14ac:dyDescent="0.25">
      <c r="A66" s="18" t="s">
        <v>45</v>
      </c>
      <c r="B66" s="33">
        <f>'Demonstrativos Padrões'!C67</f>
        <v>-159539761</v>
      </c>
      <c r="C66" s="33">
        <f>'Demonstrativos Padrões'!D67</f>
        <v>-182996283</v>
      </c>
      <c r="D66" s="33">
        <f>'Demonstrativos Padrões'!E67</f>
        <v>-232659764</v>
      </c>
    </row>
    <row r="67" spans="1:4" x14ac:dyDescent="0.25">
      <c r="A67" s="18" t="s">
        <v>46</v>
      </c>
      <c r="B67" s="33">
        <f>'Demonstrativos Padrões'!C68</f>
        <v>-212165240</v>
      </c>
      <c r="C67" s="33">
        <f>'Demonstrativos Padrões'!D68</f>
        <v>-257913769</v>
      </c>
      <c r="D67" s="33">
        <f>'Demonstrativos Padrões'!E68</f>
        <v>-98210184</v>
      </c>
    </row>
    <row r="68" spans="1:4" x14ac:dyDescent="0.25">
      <c r="A68" s="34" t="s">
        <v>229</v>
      </c>
      <c r="B68" s="33">
        <f>'Demonstrativos Padrões'!C69</f>
        <v>-77239531</v>
      </c>
      <c r="C68" s="33">
        <f>'Demonstrativos Padrões'!D69</f>
        <v>-74628238</v>
      </c>
      <c r="D68" s="33">
        <f>'Demonstrativos Padrões'!E69</f>
        <v>-53999150</v>
      </c>
    </row>
    <row r="69" spans="1:4" x14ac:dyDescent="0.25">
      <c r="A69" s="18" t="s">
        <v>47</v>
      </c>
      <c r="B69" s="33">
        <f>'Demonstrativos Padrões'!C70</f>
        <v>2549321</v>
      </c>
      <c r="C69" s="33">
        <f>'Demonstrativos Padrões'!D70</f>
        <v>-19363320</v>
      </c>
      <c r="D69" s="33">
        <f>'Demonstrativos Padrões'!E70</f>
        <v>46266838</v>
      </c>
    </row>
    <row r="70" spans="1:4" x14ac:dyDescent="0.25">
      <c r="A70" s="18" t="s">
        <v>48</v>
      </c>
      <c r="B70" s="33">
        <f>'Demonstrativos Padrões'!C71</f>
        <v>-50940679</v>
      </c>
      <c r="C70" s="33">
        <f>'Demonstrativos Padrões'!D71</f>
        <v>-116288736</v>
      </c>
      <c r="D70" s="33">
        <f>'Demonstrativos Padrões'!E71</f>
        <v>139484749</v>
      </c>
    </row>
    <row r="71" spans="1:4" x14ac:dyDescent="0.25">
      <c r="A71" s="34" t="s">
        <v>49</v>
      </c>
      <c r="B71" s="33">
        <f>'Demonstrativos Padrões'!C72</f>
        <v>507393352</v>
      </c>
      <c r="C71" s="33">
        <f>'Demonstrativos Padrões'!D72</f>
        <v>633669942</v>
      </c>
      <c r="D71" s="33">
        <f>'Demonstrativos Padrões'!E72</f>
        <v>493929689</v>
      </c>
    </row>
    <row r="72" spans="1:4" x14ac:dyDescent="0.25">
      <c r="A72" s="34" t="s">
        <v>50</v>
      </c>
      <c r="B72" s="33">
        <f>'Demonstrativos Padrões'!C73</f>
        <v>456452673</v>
      </c>
      <c r="C72" s="33">
        <f>'Demonstrativos Padrões'!D73</f>
        <v>517381206</v>
      </c>
      <c r="D72" s="33">
        <f>'Demonstrativos Padrões'!E73</f>
        <v>633414438</v>
      </c>
    </row>
    <row r="73" spans="1:4" x14ac:dyDescent="0.25">
      <c r="A73" s="13"/>
      <c r="B73" s="9"/>
      <c r="C73" s="9"/>
      <c r="D73" s="6" t="s">
        <v>1</v>
      </c>
    </row>
    <row r="74" spans="1:4" x14ac:dyDescent="0.25">
      <c r="A74" s="14" t="s">
        <v>51</v>
      </c>
      <c r="B74" s="15">
        <v>2017</v>
      </c>
      <c r="C74" s="15">
        <v>2016</v>
      </c>
      <c r="D74" s="15">
        <v>2015</v>
      </c>
    </row>
    <row r="75" spans="1:4" x14ac:dyDescent="0.25">
      <c r="A75" s="18" t="s">
        <v>52</v>
      </c>
      <c r="B75" s="24">
        <f>'Demonstrativos Padrões'!C76</f>
        <v>3231319658</v>
      </c>
      <c r="C75" s="24">
        <f>'Demonstrativos Padrões'!D76</f>
        <v>3110258914</v>
      </c>
      <c r="D75" s="24">
        <f>'Demonstrativos Padrões'!E76</f>
        <v>2972671953</v>
      </c>
    </row>
    <row r="76" spans="1:4" x14ac:dyDescent="0.25">
      <c r="A76" s="16" t="s">
        <v>53</v>
      </c>
      <c r="B76" s="35">
        <f>'Demonstrativos Padrões'!C77</f>
        <v>-1835795511</v>
      </c>
      <c r="C76" s="35">
        <f>'Demonstrativos Padrões'!D77</f>
        <v>-1835524432</v>
      </c>
      <c r="D76" s="35">
        <f>'Demonstrativos Padrões'!E77</f>
        <v>-1865473262</v>
      </c>
    </row>
    <row r="77" spans="1:4" x14ac:dyDescent="0.25">
      <c r="A77" s="18" t="s">
        <v>54</v>
      </c>
      <c r="B77" s="24">
        <f>'Demonstrativos Padrões'!C78</f>
        <v>1395524147</v>
      </c>
      <c r="C77" s="24">
        <f>'Demonstrativos Padrões'!D78</f>
        <v>1274734482</v>
      </c>
      <c r="D77" s="24">
        <f>'Demonstrativos Padrões'!E78</f>
        <v>1107198691</v>
      </c>
    </row>
    <row r="78" spans="1:4" x14ac:dyDescent="0.25">
      <c r="A78" s="16" t="s">
        <v>55</v>
      </c>
      <c r="B78" s="35">
        <f>'Demonstrativos Padrões'!C79</f>
        <v>-164906804</v>
      </c>
      <c r="C78" s="35">
        <f>'Demonstrativos Padrões'!D79</f>
        <v>-166336256</v>
      </c>
      <c r="D78" s="35">
        <f>'Demonstrativos Padrões'!E79</f>
        <v>-147276197</v>
      </c>
    </row>
    <row r="79" spans="1:4" x14ac:dyDescent="0.25">
      <c r="A79" s="16" t="s">
        <v>73</v>
      </c>
      <c r="B79" s="35">
        <f>'Demonstrativos Padrões'!C80</f>
        <v>-159292865</v>
      </c>
      <c r="C79" s="35">
        <f>'Demonstrativos Padrões'!D80</f>
        <v>-163860708</v>
      </c>
      <c r="D79" s="35">
        <f>'Demonstrativos Padrões'!E80</f>
        <v>-146602726</v>
      </c>
    </row>
    <row r="80" spans="1:4" x14ac:dyDescent="0.25">
      <c r="A80" s="18" t="s">
        <v>56</v>
      </c>
      <c r="B80" s="24">
        <f>'Demonstrativos Padrões'!C81</f>
        <v>1230617343</v>
      </c>
      <c r="C80" s="24">
        <f>'Demonstrativos Padrões'!D81</f>
        <v>1108398226</v>
      </c>
      <c r="D80" s="24">
        <f>'Demonstrativos Padrões'!E81</f>
        <v>959922494</v>
      </c>
    </row>
    <row r="81" spans="1:4" x14ac:dyDescent="0.25">
      <c r="A81" s="34" t="s">
        <v>57</v>
      </c>
      <c r="B81" s="36">
        <f>'Demonstrativos Padrões'!C82</f>
        <v>144157278</v>
      </c>
      <c r="C81" s="36">
        <f>'Demonstrativos Padrões'!D82</f>
        <v>180687177</v>
      </c>
      <c r="D81" s="36">
        <f>'Demonstrativos Padrões'!E82</f>
        <v>227802051</v>
      </c>
    </row>
    <row r="82" spans="1:4" x14ac:dyDescent="0.25">
      <c r="A82" s="34" t="s">
        <v>74</v>
      </c>
      <c r="B82" s="36">
        <f>'Demonstrativos Padrões'!C83</f>
        <v>1374774621</v>
      </c>
      <c r="C82" s="36">
        <f>'Demonstrativos Padrões'!D83</f>
        <v>1289085403</v>
      </c>
      <c r="D82" s="36">
        <f>'Demonstrativos Padrões'!E83</f>
        <v>1187724545</v>
      </c>
    </row>
    <row r="83" spans="1:4" ht="9" customHeight="1" x14ac:dyDescent="0.25">
      <c r="A83" s="37"/>
      <c r="B83" s="38"/>
      <c r="C83" s="38"/>
      <c r="D83" s="38"/>
    </row>
    <row r="84" spans="1:4" x14ac:dyDescent="0.25">
      <c r="A84" s="34" t="s">
        <v>58</v>
      </c>
      <c r="B84" s="24">
        <f>'Demonstrativos Padrões'!C85</f>
        <v>1374774621</v>
      </c>
      <c r="C84" s="24">
        <f>'Demonstrativos Padrões'!D85</f>
        <v>1289085403</v>
      </c>
      <c r="D84" s="24">
        <f>'Demonstrativos Padrões'!E85</f>
        <v>1187724545</v>
      </c>
    </row>
    <row r="85" spans="1:4" x14ac:dyDescent="0.25">
      <c r="A85" s="23" t="s">
        <v>59</v>
      </c>
      <c r="B85" s="26">
        <f>'Demonstrativos Padrões'!C86</f>
        <v>350210272</v>
      </c>
      <c r="C85" s="26">
        <f>'Demonstrativos Padrões'!D86</f>
        <v>343238020</v>
      </c>
      <c r="D85" s="26">
        <f>'Demonstrativos Padrões'!E86</f>
        <v>319822204</v>
      </c>
    </row>
    <row r="86" spans="1:4" x14ac:dyDescent="0.25">
      <c r="A86" s="23" t="s">
        <v>60</v>
      </c>
      <c r="B86" s="26">
        <f>'Demonstrativos Padrões'!C87</f>
        <v>573644952</v>
      </c>
      <c r="C86" s="26">
        <f>'Demonstrativos Padrões'!D87</f>
        <v>550006595</v>
      </c>
      <c r="D86" s="26">
        <f>'Demonstrativos Padrões'!E87</f>
        <v>466689305</v>
      </c>
    </row>
    <row r="87" spans="1:4" x14ac:dyDescent="0.25">
      <c r="A87" s="23" t="s">
        <v>75</v>
      </c>
      <c r="B87" s="26">
        <f>'Demonstrativos Padrões'!C88</f>
        <v>313694670</v>
      </c>
      <c r="C87" s="26">
        <f>'Demonstrativos Padrões'!D88</f>
        <v>294568768</v>
      </c>
      <c r="D87" s="26">
        <f>'Demonstrativos Padrões'!E88</f>
        <v>423548867</v>
      </c>
    </row>
    <row r="88" spans="1:4" x14ac:dyDescent="0.25">
      <c r="A88" s="23" t="s">
        <v>61</v>
      </c>
      <c r="B88" s="26">
        <f>'Demonstrativos Padrões'!C89</f>
        <v>133908085</v>
      </c>
      <c r="C88" s="26">
        <f>'Demonstrativos Padrões'!D89</f>
        <v>105401286</v>
      </c>
      <c r="D88" s="26">
        <f>'Demonstrativos Padrões'!E89</f>
        <v>-18297052</v>
      </c>
    </row>
    <row r="89" spans="1:4" x14ac:dyDescent="0.25">
      <c r="A89" s="23" t="s">
        <v>62</v>
      </c>
      <c r="B89" s="26">
        <f>'Demonstrativos Padrões'!C90</f>
        <v>3316642</v>
      </c>
      <c r="C89" s="26">
        <f>'Demonstrativos Padrões'!D90</f>
        <v>-4129266</v>
      </c>
      <c r="D89" s="26">
        <f>'Demonstrativos Padrões'!E90</f>
        <v>-4038779</v>
      </c>
    </row>
  </sheetData>
  <phoneticPr fontId="29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ATIVO</vt:lpstr>
      <vt:lpstr>PASSIVO</vt:lpstr>
      <vt:lpstr>DRE</vt:lpstr>
      <vt:lpstr>DFC</vt:lpstr>
      <vt:lpstr>DVA</vt:lpstr>
      <vt:lpstr>QTDE DE AÇÕES</vt:lpstr>
      <vt:lpstr>Demonstrativos Padrões</vt:lpstr>
      <vt:lpstr>INDICADORES FINANCEIROS</vt:lpstr>
      <vt:lpstr>Demonstrativos Gerenciais SITE</vt:lpstr>
      <vt:lpstr>NOPAT AMPLO RESTRITO</vt:lpstr>
      <vt:lpstr>Representação Gráfica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Rafael Gatsios</cp:lastModifiedBy>
  <cp:lastPrinted>2011-05-25T19:35:33Z</cp:lastPrinted>
  <dcterms:created xsi:type="dcterms:W3CDTF">2011-05-23T11:31:46Z</dcterms:created>
  <dcterms:modified xsi:type="dcterms:W3CDTF">2018-06-02T14:53:04Z</dcterms:modified>
</cp:coreProperties>
</file>